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6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<sst xmlns="http://schemas.openxmlformats.org/spreadsheetml/2006/main" count="865" uniqueCount="74">
  <si>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</si>
  <si>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</si>
  <si>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</si>
  <si>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</si>
  <si>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</si>
  <si>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</si>
  <si>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</si>
  <si>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</si>
  <si>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</si>
  <si>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</si>
  <si>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</si>
  <si>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</si>
  <si>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</si>
  <si>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</si>
  <si>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</si>
  <si>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</si>
  <si>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</si>
  <si>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</si>
  <si>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</si>
  <si>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</si>
  <si>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</si>
  <si>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</si>
  <si>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</si>
  <si>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</si>
  <si>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</si>
  <si>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</si>
  <si>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</si>
  <si>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</si>
  <si>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</si>
  <si>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</si>
  <si>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</si>
  <si>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</si>
  <si>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</si>
  <si>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</si>
  <si>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</si>
  <si>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</si>
  <si>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</si>
  <si>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</si>
  <si>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</si>
  <si>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</si>
  <si>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</si>
  <si>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</si>
  <si>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</si>
  <si>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</si>
  <si>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</si>
  <si>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</si>
  <si>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</si>
  <si>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</si>
  <si>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</si>
  <si>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</si>
  <si>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</si>
  <si>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</si>
  <si>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</si>
  <si>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</si>
  <si>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</si>
  <si>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</si>
  <si>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</si>
  <si>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</si>
  <si>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</si>
  <si>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</si>
  <si>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</si>
  <si>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平成２８年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</si>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</sst>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" sqref="B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61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32025</v>
      </c>
      <c r="E10" s="40">
        <v>8246861</v>
      </c>
      <c r="F10" s="41">
        <v>1193</v>
      </c>
      <c r="G10" s="42">
        <v>82873</v>
      </c>
      <c r="H10" s="43">
        <v>2841</v>
      </c>
      <c r="I10" s="40">
        <v>513274</v>
      </c>
      <c r="J10" s="29">
        <f aca="true" t="shared" si="0" ref="J10:J50">D10+F10-H10</f>
        <v>30377</v>
      </c>
      <c r="K10" s="30">
        <f aca="true" t="shared" si="1" ref="K10:K50">E10+G10-I10</f>
        <v>7816460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0</v>
      </c>
      <c r="E11" s="45">
        <v>216</v>
      </c>
      <c r="F11" s="46">
        <v>0</v>
      </c>
      <c r="G11" s="47">
        <v>0</v>
      </c>
      <c r="H11" s="48">
        <v>0</v>
      </c>
      <c r="I11" s="45">
        <v>0</v>
      </c>
      <c r="J11" s="32">
        <f t="shared" si="0"/>
        <v>0</v>
      </c>
      <c r="K11" s="33">
        <f t="shared" si="1"/>
        <v>216</v>
      </c>
      <c r="L11" s="34"/>
    </row>
    <row r="12" spans="2:12" ht="20.25" customHeight="1">
      <c r="B12" s="21">
        <v>3</v>
      </c>
      <c r="C12" s="22" t="s">
        <v>8</v>
      </c>
      <c r="D12" s="44">
        <v>0</v>
      </c>
      <c r="E12" s="45">
        <v>0</v>
      </c>
      <c r="F12" s="46">
        <v>0</v>
      </c>
      <c r="G12" s="47">
        <v>0</v>
      </c>
      <c r="H12" s="48">
        <v>0</v>
      </c>
      <c r="I12" s="45">
        <v>0</v>
      </c>
      <c r="J12" s="32">
        <f t="shared" si="0"/>
        <v>0</v>
      </c>
      <c r="K12" s="33">
        <f t="shared" si="1"/>
        <v>0</v>
      </c>
      <c r="L12" s="34"/>
    </row>
    <row r="13" spans="2:12" ht="20.25" customHeight="1">
      <c r="B13" s="21">
        <v>4</v>
      </c>
      <c r="C13" s="22" t="s">
        <v>9</v>
      </c>
      <c r="D13" s="44">
        <v>673</v>
      </c>
      <c r="E13" s="45">
        <v>137813</v>
      </c>
      <c r="F13" s="46">
        <v>159</v>
      </c>
      <c r="G13" s="47">
        <v>27008</v>
      </c>
      <c r="H13" s="48">
        <v>121</v>
      </c>
      <c r="I13" s="45">
        <v>20193</v>
      </c>
      <c r="J13" s="32">
        <f t="shared" si="0"/>
        <v>711</v>
      </c>
      <c r="K13" s="33">
        <f t="shared" si="1"/>
        <v>144628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0</v>
      </c>
      <c r="E17" s="45">
        <v>0</v>
      </c>
      <c r="F17" s="46">
        <v>0</v>
      </c>
      <c r="G17" s="47">
        <v>0</v>
      </c>
      <c r="H17" s="48">
        <v>0</v>
      </c>
      <c r="I17" s="45">
        <v>0</v>
      </c>
      <c r="J17" s="32">
        <f t="shared" si="0"/>
        <v>0</v>
      </c>
      <c r="K17" s="33">
        <f t="shared" si="1"/>
        <v>0</v>
      </c>
      <c r="L17" s="34"/>
    </row>
    <row r="18" spans="2:12" ht="20.25" customHeight="1">
      <c r="B18" s="21">
        <v>9</v>
      </c>
      <c r="C18" s="22" t="s">
        <v>14</v>
      </c>
      <c r="D18" s="44">
        <v>72</v>
      </c>
      <c r="E18" s="45">
        <v>13154</v>
      </c>
      <c r="F18" s="46">
        <v>48</v>
      </c>
      <c r="G18" s="47">
        <v>4560</v>
      </c>
      <c r="H18" s="48">
        <v>47</v>
      </c>
      <c r="I18" s="45">
        <v>4889</v>
      </c>
      <c r="J18" s="32">
        <f t="shared" si="0"/>
        <v>73</v>
      </c>
      <c r="K18" s="33">
        <f t="shared" si="1"/>
        <v>12825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19</v>
      </c>
      <c r="E20" s="45">
        <v>936</v>
      </c>
      <c r="F20" s="46">
        <v>27</v>
      </c>
      <c r="G20" s="47">
        <v>1296</v>
      </c>
      <c r="H20" s="48">
        <v>20</v>
      </c>
      <c r="I20" s="45">
        <v>954</v>
      </c>
      <c r="J20" s="32">
        <f t="shared" si="0"/>
        <v>26</v>
      </c>
      <c r="K20" s="33">
        <f t="shared" si="1"/>
        <v>1278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5946</v>
      </c>
      <c r="E22" s="45">
        <v>931800</v>
      </c>
      <c r="F22" s="46">
        <v>1899</v>
      </c>
      <c r="G22" s="47">
        <v>266540</v>
      </c>
      <c r="H22" s="48">
        <v>1963</v>
      </c>
      <c r="I22" s="45">
        <v>314060</v>
      </c>
      <c r="J22" s="32">
        <f t="shared" si="0"/>
        <v>5882</v>
      </c>
      <c r="K22" s="33">
        <f t="shared" si="1"/>
        <v>884280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2780</v>
      </c>
      <c r="E23" s="59">
        <v>1674592</v>
      </c>
      <c r="F23" s="56">
        <v>1381</v>
      </c>
      <c r="G23" s="57">
        <v>1049000</v>
      </c>
      <c r="H23" s="58">
        <v>1443</v>
      </c>
      <c r="I23" s="59">
        <v>1122833</v>
      </c>
      <c r="J23" s="64">
        <f t="shared" si="0"/>
        <v>2718</v>
      </c>
      <c r="K23" s="65">
        <f t="shared" si="1"/>
        <v>1600759</v>
      </c>
      <c r="L23" s="71"/>
    </row>
    <row r="24" spans="2:12" ht="20.25" customHeight="1">
      <c r="B24" s="21">
        <v>15</v>
      </c>
      <c r="C24" s="22" t="s">
        <v>20</v>
      </c>
      <c r="D24" s="44">
        <v>25843</v>
      </c>
      <c r="E24" s="45">
        <v>3488398</v>
      </c>
      <c r="F24" s="46">
        <v>1051</v>
      </c>
      <c r="G24" s="47">
        <v>682472</v>
      </c>
      <c r="H24" s="48">
        <v>1052</v>
      </c>
      <c r="I24" s="45">
        <v>589163</v>
      </c>
      <c r="J24" s="32">
        <f t="shared" si="0"/>
        <v>25842</v>
      </c>
      <c r="K24" s="33">
        <f t="shared" si="1"/>
        <v>3581707</v>
      </c>
      <c r="L24" s="34"/>
    </row>
    <row r="25" spans="2:12" ht="20.25" customHeight="1">
      <c r="B25" s="21">
        <v>16</v>
      </c>
      <c r="C25" s="22" t="s">
        <v>21</v>
      </c>
      <c r="D25" s="44">
        <v>6783</v>
      </c>
      <c r="E25" s="45">
        <v>5235513</v>
      </c>
      <c r="F25" s="46">
        <f>5693+150</f>
        <v>5843</v>
      </c>
      <c r="G25" s="47">
        <f>1249157+770332</f>
        <v>2019489</v>
      </c>
      <c r="H25" s="48">
        <f>4792+11</f>
        <v>4803</v>
      </c>
      <c r="I25" s="45">
        <f>1097021+22252</f>
        <v>1119273</v>
      </c>
      <c r="J25" s="32">
        <f t="shared" si="0"/>
        <v>7823</v>
      </c>
      <c r="K25" s="33">
        <f t="shared" si="1"/>
        <v>6135729</v>
      </c>
      <c r="L25" s="34"/>
    </row>
    <row r="26" spans="2:12" ht="20.25" customHeight="1">
      <c r="B26" s="21">
        <v>17</v>
      </c>
      <c r="C26" s="22" t="s">
        <v>22</v>
      </c>
      <c r="D26" s="44">
        <v>17847</v>
      </c>
      <c r="E26" s="45">
        <v>5820372</v>
      </c>
      <c r="F26" s="46">
        <v>7548</v>
      </c>
      <c r="G26" s="47">
        <v>1665507</v>
      </c>
      <c r="H26" s="48">
        <v>6529</v>
      </c>
      <c r="I26" s="45">
        <v>1283266</v>
      </c>
      <c r="J26" s="32">
        <f t="shared" si="0"/>
        <v>18866</v>
      </c>
      <c r="K26" s="33">
        <f t="shared" si="1"/>
        <v>6202613</v>
      </c>
      <c r="L26" s="34"/>
    </row>
    <row r="27" spans="2:12" ht="20.25" customHeight="1">
      <c r="B27" s="21">
        <v>18</v>
      </c>
      <c r="C27" s="22" t="s">
        <v>51</v>
      </c>
      <c r="D27" s="44">
        <v>2111</v>
      </c>
      <c r="E27" s="45">
        <v>326321</v>
      </c>
      <c r="F27" s="46">
        <v>278</v>
      </c>
      <c r="G27" s="47">
        <v>115029</v>
      </c>
      <c r="H27" s="48">
        <v>303</v>
      </c>
      <c r="I27" s="45">
        <v>106850</v>
      </c>
      <c r="J27" s="32">
        <f t="shared" si="0"/>
        <v>2086</v>
      </c>
      <c r="K27" s="33">
        <f t="shared" si="1"/>
        <v>334500</v>
      </c>
      <c r="L27" s="34"/>
    </row>
    <row r="28" spans="2:12" ht="20.25" customHeight="1">
      <c r="B28" s="21">
        <v>19</v>
      </c>
      <c r="C28" s="22" t="s">
        <v>23</v>
      </c>
      <c r="D28" s="44">
        <v>400</v>
      </c>
      <c r="E28" s="45">
        <v>44000</v>
      </c>
      <c r="F28" s="46">
        <v>1040</v>
      </c>
      <c r="G28" s="47">
        <v>114400</v>
      </c>
      <c r="H28" s="48">
        <v>690</v>
      </c>
      <c r="I28" s="45">
        <v>75900</v>
      </c>
      <c r="J28" s="32">
        <f t="shared" si="0"/>
        <v>750</v>
      </c>
      <c r="K28" s="33">
        <f t="shared" si="1"/>
        <v>82500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f>997+105</f>
        <v>1102</v>
      </c>
      <c r="E29" s="59">
        <f>199400+119114</f>
        <v>318514</v>
      </c>
      <c r="F29" s="74">
        <f>20+25</f>
        <v>45</v>
      </c>
      <c r="G29" s="57">
        <f>4000+38400</f>
        <v>42400</v>
      </c>
      <c r="H29" s="58">
        <f>20+39</f>
        <v>59</v>
      </c>
      <c r="I29" s="59">
        <f>4000+47717</f>
        <v>51717</v>
      </c>
      <c r="J29" s="64">
        <f t="shared" si="0"/>
        <v>1088</v>
      </c>
      <c r="K29" s="65">
        <f t="shared" si="1"/>
        <v>309197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f>1011+413</f>
        <v>1424</v>
      </c>
      <c r="E30" s="59">
        <f>733979+63985</f>
        <v>797964</v>
      </c>
      <c r="F30" s="56">
        <f>299+258</f>
        <v>557</v>
      </c>
      <c r="G30" s="57">
        <f>158643+26316</f>
        <v>184959</v>
      </c>
      <c r="H30" s="58">
        <f>306+297</f>
        <v>603</v>
      </c>
      <c r="I30" s="59">
        <f>159459+39437</f>
        <v>198896</v>
      </c>
      <c r="J30" s="64">
        <f t="shared" si="0"/>
        <v>1378</v>
      </c>
      <c r="K30" s="65">
        <f t="shared" si="1"/>
        <v>784027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20</v>
      </c>
      <c r="E32" s="59">
        <v>16000</v>
      </c>
      <c r="F32" s="56">
        <v>13</v>
      </c>
      <c r="G32" s="57">
        <v>41235</v>
      </c>
      <c r="H32" s="58">
        <v>0</v>
      </c>
      <c r="I32" s="59">
        <v>8000</v>
      </c>
      <c r="J32" s="64">
        <f t="shared" si="0"/>
        <v>33</v>
      </c>
      <c r="K32" s="65">
        <f t="shared" si="1"/>
        <v>49235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22947</v>
      </c>
      <c r="E33" s="59">
        <v>7513418</v>
      </c>
      <c r="F33" s="56">
        <v>13919</v>
      </c>
      <c r="G33" s="57">
        <v>4319037</v>
      </c>
      <c r="H33" s="72">
        <v>13018</v>
      </c>
      <c r="I33" s="59">
        <v>3909847</v>
      </c>
      <c r="J33" s="64">
        <f t="shared" si="0"/>
        <v>23848</v>
      </c>
      <c r="K33" s="65">
        <f t="shared" si="1"/>
        <v>7922608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f>85278+308</f>
        <v>85586</v>
      </c>
      <c r="E34" s="59">
        <f>5210291+509202</f>
        <v>5719493</v>
      </c>
      <c r="F34" s="56">
        <f>34988+178</f>
        <v>35166</v>
      </c>
      <c r="G34" s="57">
        <f>4854740+242000</f>
        <v>5096740</v>
      </c>
      <c r="H34" s="58">
        <f>32187+140</f>
        <v>32327</v>
      </c>
      <c r="I34" s="59">
        <f>4633810+213700</f>
        <v>4847510</v>
      </c>
      <c r="J34" s="64">
        <f t="shared" si="0"/>
        <v>88425</v>
      </c>
      <c r="K34" s="65">
        <f t="shared" si="1"/>
        <v>5968723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4706</v>
      </c>
      <c r="E35" s="59">
        <v>3652933</v>
      </c>
      <c r="F35" s="56">
        <v>338</v>
      </c>
      <c r="G35" s="57">
        <v>37427</v>
      </c>
      <c r="H35" s="58">
        <v>565</v>
      </c>
      <c r="I35" s="59">
        <v>112428</v>
      </c>
      <c r="J35" s="64">
        <f t="shared" si="0"/>
        <v>4479</v>
      </c>
      <c r="K35" s="65">
        <f t="shared" si="1"/>
        <v>3577932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331</v>
      </c>
      <c r="E36" s="59">
        <v>67680</v>
      </c>
      <c r="F36" s="56">
        <v>351</v>
      </c>
      <c r="G36" s="57">
        <v>70120</v>
      </c>
      <c r="H36" s="58">
        <v>348</v>
      </c>
      <c r="I36" s="59">
        <v>70240</v>
      </c>
      <c r="J36" s="64">
        <f t="shared" si="0"/>
        <v>334</v>
      </c>
      <c r="K36" s="65">
        <f t="shared" si="1"/>
        <v>67560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0</v>
      </c>
      <c r="E38" s="59">
        <v>0</v>
      </c>
      <c r="F38" s="56">
        <v>0</v>
      </c>
      <c r="G38" s="57">
        <v>0</v>
      </c>
      <c r="H38" s="58">
        <v>0</v>
      </c>
      <c r="I38" s="59">
        <v>0</v>
      </c>
      <c r="J38" s="64">
        <f t="shared" si="0"/>
        <v>0</v>
      </c>
      <c r="K38" s="65">
        <f t="shared" si="1"/>
        <v>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1244</v>
      </c>
      <c r="E39" s="59">
        <v>1368400</v>
      </c>
      <c r="F39" s="56">
        <v>100</v>
      </c>
      <c r="G39" s="57">
        <v>110000</v>
      </c>
      <c r="H39" s="58">
        <v>120</v>
      </c>
      <c r="I39" s="59">
        <v>132000</v>
      </c>
      <c r="J39" s="64">
        <f t="shared" si="0"/>
        <v>1224</v>
      </c>
      <c r="K39" s="65">
        <f t="shared" si="1"/>
        <v>1346400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29508</v>
      </c>
      <c r="E42" s="59">
        <v>3767026</v>
      </c>
      <c r="F42" s="56">
        <v>12609</v>
      </c>
      <c r="G42" s="57">
        <v>2629567</v>
      </c>
      <c r="H42" s="58">
        <v>14765</v>
      </c>
      <c r="I42" s="59">
        <v>3817991</v>
      </c>
      <c r="J42" s="64">
        <f t="shared" si="0"/>
        <v>27352</v>
      </c>
      <c r="K42" s="65">
        <f t="shared" si="1"/>
        <v>2578602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7868</v>
      </c>
      <c r="E43" s="59">
        <v>9476138</v>
      </c>
      <c r="F43" s="56">
        <v>6384</v>
      </c>
      <c r="G43" s="57">
        <v>6873757</v>
      </c>
      <c r="H43" s="58">
        <v>6577</v>
      </c>
      <c r="I43" s="59">
        <v>8259956</v>
      </c>
      <c r="J43" s="64">
        <f t="shared" si="0"/>
        <v>7675</v>
      </c>
      <c r="K43" s="65">
        <f t="shared" si="1"/>
        <v>8089939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23</v>
      </c>
      <c r="E44" s="59">
        <v>119430</v>
      </c>
      <c r="F44" s="56">
        <v>2</v>
      </c>
      <c r="G44" s="57">
        <v>1740</v>
      </c>
      <c r="H44" s="58">
        <v>5</v>
      </c>
      <c r="I44" s="59">
        <v>6090</v>
      </c>
      <c r="J44" s="64">
        <f t="shared" si="0"/>
        <v>20</v>
      </c>
      <c r="K44" s="65">
        <f t="shared" si="1"/>
        <v>115080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3634</v>
      </c>
      <c r="E45" s="59">
        <v>4653997</v>
      </c>
      <c r="F45" s="56">
        <v>1390</v>
      </c>
      <c r="G45" s="57">
        <v>2552977</v>
      </c>
      <c r="H45" s="58">
        <v>879</v>
      </c>
      <c r="I45" s="59">
        <v>3761422</v>
      </c>
      <c r="J45" s="64">
        <f t="shared" si="0"/>
        <v>4145</v>
      </c>
      <c r="K45" s="65">
        <f t="shared" si="1"/>
        <v>3445552</v>
      </c>
      <c r="L45" s="71"/>
    </row>
    <row r="46" spans="2:12" ht="20.25" customHeight="1">
      <c r="B46" s="21">
        <v>37</v>
      </c>
      <c r="C46" s="22" t="s">
        <v>41</v>
      </c>
      <c r="D46" s="44">
        <v>9796</v>
      </c>
      <c r="E46" s="45">
        <v>2920605</v>
      </c>
      <c r="F46" s="46">
        <v>2650</v>
      </c>
      <c r="G46" s="47">
        <v>734215</v>
      </c>
      <c r="H46" s="48">
        <v>2232</v>
      </c>
      <c r="I46" s="45">
        <v>439936</v>
      </c>
      <c r="J46" s="32">
        <f t="shared" si="0"/>
        <v>10214</v>
      </c>
      <c r="K46" s="33">
        <f t="shared" si="1"/>
        <v>3214884</v>
      </c>
      <c r="L46" s="34"/>
    </row>
    <row r="47" spans="2:12" ht="32.25" customHeight="1">
      <c r="B47" s="21">
        <v>38</v>
      </c>
      <c r="C47" s="22" t="s">
        <v>42</v>
      </c>
      <c r="D47" s="44">
        <v>2830</v>
      </c>
      <c r="E47" s="45">
        <v>1821544</v>
      </c>
      <c r="F47" s="46">
        <v>699</v>
      </c>
      <c r="G47" s="47">
        <v>392300</v>
      </c>
      <c r="H47" s="48">
        <v>658</v>
      </c>
      <c r="I47" s="45">
        <v>334681</v>
      </c>
      <c r="J47" s="32">
        <f t="shared" si="0"/>
        <v>2871</v>
      </c>
      <c r="K47" s="33">
        <f t="shared" si="1"/>
        <v>1879163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7291</v>
      </c>
      <c r="E49" s="50">
        <v>1884197</v>
      </c>
      <c r="F49" s="51">
        <v>4363</v>
      </c>
      <c r="G49" s="52">
        <v>1369026</v>
      </c>
      <c r="H49" s="53">
        <v>4265</v>
      </c>
      <c r="I49" s="50">
        <v>1037264</v>
      </c>
      <c r="J49" s="35">
        <f>D49+F49-H49</f>
        <v>7389</v>
      </c>
      <c r="K49" s="36">
        <f>E49+G49-I49</f>
        <v>2215959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272809</v>
      </c>
      <c r="E50" s="66">
        <f t="shared" si="2"/>
        <v>70017315</v>
      </c>
      <c r="F50" s="68">
        <f t="shared" si="2"/>
        <v>99053</v>
      </c>
      <c r="G50" s="69">
        <f t="shared" si="2"/>
        <v>30483674</v>
      </c>
      <c r="H50" s="68">
        <f t="shared" si="2"/>
        <v>96233</v>
      </c>
      <c r="I50" s="69">
        <f t="shared" si="2"/>
        <v>32138633</v>
      </c>
      <c r="J50" s="70">
        <f t="shared" si="0"/>
        <v>275629</v>
      </c>
      <c r="K50" s="69">
        <f t="shared" si="1"/>
        <v>68362356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36437</v>
      </c>
      <c r="E10" s="116">
        <f>'９月'!K10</f>
        <v>9317499</v>
      </c>
      <c r="F10" s="119"/>
      <c r="G10" s="118"/>
      <c r="H10" s="117"/>
      <c r="I10" s="116"/>
      <c r="J10" s="115">
        <f aca="true" t="shared" si="0" ref="J10:K50">D10+F10-H10</f>
        <v>36437</v>
      </c>
      <c r="K10" s="114">
        <f t="shared" si="0"/>
        <v>9317499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39</v>
      </c>
      <c r="E11" s="116">
        <f>'９月'!K11</f>
        <v>2166</v>
      </c>
      <c r="F11" s="105"/>
      <c r="G11" s="104"/>
      <c r="H11" s="103"/>
      <c r="I11" s="102"/>
      <c r="J11" s="101">
        <f t="shared" si="0"/>
        <v>39</v>
      </c>
      <c r="K11" s="100">
        <f t="shared" si="0"/>
        <v>2166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0</v>
      </c>
      <c r="E12" s="116">
        <f>'９月'!K12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1102</v>
      </c>
      <c r="E13" s="116">
        <f>'９月'!K13</f>
        <v>150770</v>
      </c>
      <c r="F13" s="105"/>
      <c r="G13" s="104"/>
      <c r="H13" s="103"/>
      <c r="I13" s="102"/>
      <c r="J13" s="101">
        <f t="shared" si="0"/>
        <v>1102</v>
      </c>
      <c r="K13" s="100">
        <f t="shared" si="0"/>
        <v>150770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0</v>
      </c>
      <c r="E17" s="116">
        <f>'９月'!K17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44</v>
      </c>
      <c r="E18" s="116">
        <f>'９月'!K18</f>
        <v>6134</v>
      </c>
      <c r="F18" s="105"/>
      <c r="G18" s="104"/>
      <c r="H18" s="103"/>
      <c r="I18" s="102"/>
      <c r="J18" s="101">
        <f t="shared" si="0"/>
        <v>44</v>
      </c>
      <c r="K18" s="100">
        <f t="shared" si="0"/>
        <v>6134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1</v>
      </c>
      <c r="E20" s="116">
        <f>'９月'!K20</f>
        <v>3</v>
      </c>
      <c r="F20" s="105"/>
      <c r="G20" s="104"/>
      <c r="H20" s="103"/>
      <c r="I20" s="102"/>
      <c r="J20" s="101">
        <f t="shared" si="0"/>
        <v>1</v>
      </c>
      <c r="K20" s="100">
        <f t="shared" si="0"/>
        <v>3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7401</v>
      </c>
      <c r="E22" s="116">
        <f>'９月'!K22</f>
        <v>1005120</v>
      </c>
      <c r="F22" s="105"/>
      <c r="G22" s="104"/>
      <c r="H22" s="103"/>
      <c r="I22" s="102"/>
      <c r="J22" s="101">
        <f t="shared" si="0"/>
        <v>7401</v>
      </c>
      <c r="K22" s="100">
        <f t="shared" si="0"/>
        <v>1005120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2971</v>
      </c>
      <c r="E23" s="116">
        <f>'９月'!K23</f>
        <v>2726276</v>
      </c>
      <c r="F23" s="112"/>
      <c r="G23" s="111"/>
      <c r="H23" s="110"/>
      <c r="I23" s="109"/>
      <c r="J23" s="108">
        <f t="shared" si="0"/>
        <v>2971</v>
      </c>
      <c r="K23" s="107">
        <f t="shared" si="0"/>
        <v>2726276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25624</v>
      </c>
      <c r="E24" s="116">
        <f>'９月'!K24</f>
        <v>3138406</v>
      </c>
      <c r="F24" s="105"/>
      <c r="G24" s="104"/>
      <c r="H24" s="103"/>
      <c r="I24" s="102"/>
      <c r="J24" s="101">
        <f t="shared" si="0"/>
        <v>25624</v>
      </c>
      <c r="K24" s="100">
        <f t="shared" si="0"/>
        <v>3138406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9438</v>
      </c>
      <c r="E25" s="116">
        <f>'９月'!K25</f>
        <v>5398483</v>
      </c>
      <c r="F25" s="105"/>
      <c r="G25" s="104"/>
      <c r="H25" s="103"/>
      <c r="I25" s="102"/>
      <c r="J25" s="101">
        <f t="shared" si="0"/>
        <v>9438</v>
      </c>
      <c r="K25" s="100">
        <f t="shared" si="0"/>
        <v>5398483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19627</v>
      </c>
      <c r="E26" s="116">
        <f>'９月'!K26</f>
        <v>5059262</v>
      </c>
      <c r="F26" s="105"/>
      <c r="G26" s="104"/>
      <c r="H26" s="103"/>
      <c r="I26" s="102"/>
      <c r="J26" s="101">
        <f t="shared" si="0"/>
        <v>19627</v>
      </c>
      <c r="K26" s="100">
        <f t="shared" si="0"/>
        <v>5059262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2084</v>
      </c>
      <c r="E27" s="116">
        <f>'９月'!K27</f>
        <v>333000</v>
      </c>
      <c r="F27" s="105"/>
      <c r="G27" s="104"/>
      <c r="H27" s="103"/>
      <c r="I27" s="102"/>
      <c r="J27" s="101">
        <f t="shared" si="0"/>
        <v>2084</v>
      </c>
      <c r="K27" s="100">
        <f t="shared" si="0"/>
        <v>333000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650</v>
      </c>
      <c r="E28" s="116">
        <f>'９月'!K28</f>
        <v>71500</v>
      </c>
      <c r="F28" s="105"/>
      <c r="G28" s="104"/>
      <c r="H28" s="103"/>
      <c r="I28" s="102"/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1057</v>
      </c>
      <c r="E29" s="116">
        <f>'９月'!K29</f>
        <v>314411</v>
      </c>
      <c r="F29" s="74"/>
      <c r="G29" s="111"/>
      <c r="H29" s="110"/>
      <c r="I29" s="109"/>
      <c r="J29" s="108">
        <f t="shared" si="0"/>
        <v>1057</v>
      </c>
      <c r="K29" s="107">
        <f t="shared" si="0"/>
        <v>314411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1788</v>
      </c>
      <c r="E30" s="116">
        <f>'９月'!K30</f>
        <v>806465</v>
      </c>
      <c r="F30" s="112"/>
      <c r="G30" s="111"/>
      <c r="H30" s="110"/>
      <c r="I30" s="109"/>
      <c r="J30" s="108">
        <f t="shared" si="0"/>
        <v>1788</v>
      </c>
      <c r="K30" s="107">
        <f t="shared" si="0"/>
        <v>806465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23</v>
      </c>
      <c r="E32" s="116">
        <f>'９月'!K32</f>
        <v>25387</v>
      </c>
      <c r="F32" s="112"/>
      <c r="G32" s="111"/>
      <c r="H32" s="110"/>
      <c r="I32" s="109"/>
      <c r="J32" s="108">
        <f t="shared" si="0"/>
        <v>23</v>
      </c>
      <c r="K32" s="107">
        <f t="shared" si="0"/>
        <v>25387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22498</v>
      </c>
      <c r="E33" s="116">
        <f>'９月'!K33</f>
        <v>7146592</v>
      </c>
      <c r="F33" s="112"/>
      <c r="G33" s="111"/>
      <c r="H33" s="72"/>
      <c r="I33" s="109"/>
      <c r="J33" s="108">
        <f t="shared" si="0"/>
        <v>22498</v>
      </c>
      <c r="K33" s="107">
        <f t="shared" si="0"/>
        <v>7146592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105829</v>
      </c>
      <c r="E34" s="116">
        <f>'９月'!K34</f>
        <v>7862388</v>
      </c>
      <c r="F34" s="112"/>
      <c r="G34" s="111"/>
      <c r="H34" s="110"/>
      <c r="I34" s="109"/>
      <c r="J34" s="108">
        <f t="shared" si="0"/>
        <v>105829</v>
      </c>
      <c r="K34" s="107">
        <f t="shared" si="0"/>
        <v>7862388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5328</v>
      </c>
      <c r="E35" s="116">
        <f>'９月'!K35</f>
        <v>3656509</v>
      </c>
      <c r="F35" s="112"/>
      <c r="G35" s="111"/>
      <c r="H35" s="110"/>
      <c r="I35" s="109"/>
      <c r="J35" s="108">
        <f t="shared" si="0"/>
        <v>5328</v>
      </c>
      <c r="K35" s="107">
        <f t="shared" si="0"/>
        <v>3656509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282</v>
      </c>
      <c r="E36" s="116">
        <f>'９月'!K36</f>
        <v>56840</v>
      </c>
      <c r="F36" s="112"/>
      <c r="G36" s="111"/>
      <c r="H36" s="110"/>
      <c r="I36" s="109"/>
      <c r="J36" s="108">
        <f t="shared" si="0"/>
        <v>282</v>
      </c>
      <c r="K36" s="107">
        <f t="shared" si="0"/>
        <v>56840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591</v>
      </c>
      <c r="E38" s="116">
        <f>'９月'!K38</f>
        <v>122480</v>
      </c>
      <c r="F38" s="112"/>
      <c r="G38" s="111"/>
      <c r="H38" s="110"/>
      <c r="I38" s="109"/>
      <c r="J38" s="108">
        <f t="shared" si="0"/>
        <v>591</v>
      </c>
      <c r="K38" s="107">
        <f t="shared" si="0"/>
        <v>122480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1204</v>
      </c>
      <c r="E39" s="116">
        <f>'９月'!K39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51470</v>
      </c>
      <c r="E42" s="116">
        <f>'９月'!K42</f>
        <v>9463756</v>
      </c>
      <c r="F42" s="112"/>
      <c r="G42" s="111"/>
      <c r="H42" s="110"/>
      <c r="I42" s="109"/>
      <c r="J42" s="108">
        <f t="shared" si="0"/>
        <v>51470</v>
      </c>
      <c r="K42" s="107">
        <f t="shared" si="0"/>
        <v>9463756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9327</v>
      </c>
      <c r="E43" s="116">
        <f>'９月'!K43</f>
        <v>14283313</v>
      </c>
      <c r="F43" s="112"/>
      <c r="G43" s="111"/>
      <c r="H43" s="110"/>
      <c r="I43" s="109"/>
      <c r="J43" s="108">
        <f t="shared" si="0"/>
        <v>9327</v>
      </c>
      <c r="K43" s="107">
        <f t="shared" si="0"/>
        <v>14283313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29</v>
      </c>
      <c r="E44" s="116">
        <f>'９月'!K44</f>
        <v>128400</v>
      </c>
      <c r="F44" s="112"/>
      <c r="G44" s="111"/>
      <c r="H44" s="110"/>
      <c r="I44" s="109"/>
      <c r="J44" s="108">
        <f t="shared" si="0"/>
        <v>29</v>
      </c>
      <c r="K44" s="107">
        <f t="shared" si="0"/>
        <v>128400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5585</v>
      </c>
      <c r="E45" s="116">
        <f>'９月'!K45</f>
        <v>2610815</v>
      </c>
      <c r="F45" s="112"/>
      <c r="G45" s="111"/>
      <c r="H45" s="110"/>
      <c r="I45" s="109"/>
      <c r="J45" s="108">
        <f t="shared" si="0"/>
        <v>5585</v>
      </c>
      <c r="K45" s="107">
        <f t="shared" si="0"/>
        <v>2610815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8936</v>
      </c>
      <c r="E46" s="116">
        <f>'９月'!K46</f>
        <v>1364793</v>
      </c>
      <c r="F46" s="105"/>
      <c r="G46" s="104"/>
      <c r="H46" s="103"/>
      <c r="I46" s="102"/>
      <c r="J46" s="101">
        <f t="shared" si="0"/>
        <v>8936</v>
      </c>
      <c r="K46" s="100">
        <f t="shared" si="0"/>
        <v>1364793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3022</v>
      </c>
      <c r="E47" s="116">
        <f>'９月'!K47</f>
        <v>1777131</v>
      </c>
      <c r="F47" s="105"/>
      <c r="G47" s="104"/>
      <c r="H47" s="103"/>
      <c r="I47" s="102"/>
      <c r="J47" s="101">
        <f t="shared" si="0"/>
        <v>3022</v>
      </c>
      <c r="K47" s="100">
        <f t="shared" si="0"/>
        <v>1777131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7421</v>
      </c>
      <c r="E49" s="116">
        <f>'９月'!K49</f>
        <v>2690611</v>
      </c>
      <c r="F49" s="98"/>
      <c r="G49" s="97"/>
      <c r="H49" s="96"/>
      <c r="I49" s="95"/>
      <c r="J49" s="94">
        <f t="shared" si="0"/>
        <v>7421</v>
      </c>
      <c r="K49" s="93">
        <f t="shared" si="0"/>
        <v>2690611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329808</v>
      </c>
      <c r="E50" s="90">
        <f t="shared" si="1"/>
        <v>80842910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329808</v>
      </c>
      <c r="K50" s="87">
        <f t="shared" si="0"/>
        <v>80842910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36437</v>
      </c>
      <c r="E10" s="116">
        <f>'１０月'!K10</f>
        <v>9317499</v>
      </c>
      <c r="F10" s="119"/>
      <c r="G10" s="118"/>
      <c r="H10" s="117"/>
      <c r="I10" s="116"/>
      <c r="J10" s="115">
        <f aca="true" t="shared" si="0" ref="J10:K50">D10+F10-H10</f>
        <v>36437</v>
      </c>
      <c r="K10" s="114">
        <f t="shared" si="0"/>
        <v>9317499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39</v>
      </c>
      <c r="E11" s="116">
        <f>'１０月'!K11</f>
        <v>2166</v>
      </c>
      <c r="F11" s="105"/>
      <c r="G11" s="104"/>
      <c r="H11" s="103"/>
      <c r="I11" s="102"/>
      <c r="J11" s="101">
        <f t="shared" si="0"/>
        <v>39</v>
      </c>
      <c r="K11" s="100">
        <f t="shared" si="0"/>
        <v>2166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0</v>
      </c>
      <c r="E12" s="116">
        <f>'１０月'!K12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1102</v>
      </c>
      <c r="E13" s="116">
        <f>'１０月'!K13</f>
        <v>150770</v>
      </c>
      <c r="F13" s="105"/>
      <c r="G13" s="104"/>
      <c r="H13" s="103"/>
      <c r="I13" s="102"/>
      <c r="J13" s="101">
        <f t="shared" si="0"/>
        <v>1102</v>
      </c>
      <c r="K13" s="100">
        <f t="shared" si="0"/>
        <v>150770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0</v>
      </c>
      <c r="E17" s="116">
        <f>'１０月'!K17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44</v>
      </c>
      <c r="E18" s="116">
        <f>'１０月'!K18</f>
        <v>6134</v>
      </c>
      <c r="F18" s="105"/>
      <c r="G18" s="104"/>
      <c r="H18" s="103"/>
      <c r="I18" s="102"/>
      <c r="J18" s="101">
        <f t="shared" si="0"/>
        <v>44</v>
      </c>
      <c r="K18" s="100">
        <f t="shared" si="0"/>
        <v>6134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1</v>
      </c>
      <c r="E20" s="116">
        <f>'１０月'!K20</f>
        <v>3</v>
      </c>
      <c r="F20" s="105"/>
      <c r="G20" s="104"/>
      <c r="H20" s="103"/>
      <c r="I20" s="102"/>
      <c r="J20" s="101">
        <f t="shared" si="0"/>
        <v>1</v>
      </c>
      <c r="K20" s="100">
        <f t="shared" si="0"/>
        <v>3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7401</v>
      </c>
      <c r="E22" s="116">
        <f>'１０月'!K22</f>
        <v>1005120</v>
      </c>
      <c r="F22" s="105"/>
      <c r="G22" s="104"/>
      <c r="H22" s="103"/>
      <c r="I22" s="102"/>
      <c r="J22" s="101">
        <f t="shared" si="0"/>
        <v>7401</v>
      </c>
      <c r="K22" s="100">
        <f t="shared" si="0"/>
        <v>1005120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2971</v>
      </c>
      <c r="E23" s="116">
        <f>'１０月'!K23</f>
        <v>2726276</v>
      </c>
      <c r="F23" s="112"/>
      <c r="G23" s="111"/>
      <c r="H23" s="110"/>
      <c r="I23" s="109"/>
      <c r="J23" s="108">
        <f t="shared" si="0"/>
        <v>2971</v>
      </c>
      <c r="K23" s="107">
        <f t="shared" si="0"/>
        <v>2726276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25624</v>
      </c>
      <c r="E24" s="116">
        <f>'１０月'!K24</f>
        <v>3138406</v>
      </c>
      <c r="F24" s="105"/>
      <c r="G24" s="104"/>
      <c r="H24" s="103"/>
      <c r="I24" s="102"/>
      <c r="J24" s="101">
        <f t="shared" si="0"/>
        <v>25624</v>
      </c>
      <c r="K24" s="100">
        <f t="shared" si="0"/>
        <v>3138406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9438</v>
      </c>
      <c r="E25" s="116">
        <f>'１０月'!K25</f>
        <v>5398483</v>
      </c>
      <c r="F25" s="105"/>
      <c r="G25" s="104"/>
      <c r="H25" s="103"/>
      <c r="I25" s="102"/>
      <c r="J25" s="101">
        <f t="shared" si="0"/>
        <v>9438</v>
      </c>
      <c r="K25" s="100">
        <f t="shared" si="0"/>
        <v>5398483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19627</v>
      </c>
      <c r="E26" s="116">
        <f>'１０月'!K26</f>
        <v>5059262</v>
      </c>
      <c r="F26" s="105"/>
      <c r="G26" s="104"/>
      <c r="H26" s="103"/>
      <c r="I26" s="102"/>
      <c r="J26" s="101">
        <f t="shared" si="0"/>
        <v>19627</v>
      </c>
      <c r="K26" s="100">
        <f t="shared" si="0"/>
        <v>5059262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2084</v>
      </c>
      <c r="E27" s="116">
        <f>'１０月'!K27</f>
        <v>333000</v>
      </c>
      <c r="F27" s="105"/>
      <c r="G27" s="104"/>
      <c r="H27" s="103"/>
      <c r="I27" s="102"/>
      <c r="J27" s="101">
        <f t="shared" si="0"/>
        <v>2084</v>
      </c>
      <c r="K27" s="100">
        <f t="shared" si="0"/>
        <v>333000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650</v>
      </c>
      <c r="E28" s="116">
        <f>'１０月'!K28</f>
        <v>71500</v>
      </c>
      <c r="F28" s="105"/>
      <c r="G28" s="104"/>
      <c r="H28" s="103"/>
      <c r="I28" s="102"/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1057</v>
      </c>
      <c r="E29" s="116">
        <f>'１０月'!K29</f>
        <v>314411</v>
      </c>
      <c r="F29" s="74"/>
      <c r="G29" s="111"/>
      <c r="H29" s="110"/>
      <c r="I29" s="109"/>
      <c r="J29" s="108">
        <f t="shared" si="0"/>
        <v>1057</v>
      </c>
      <c r="K29" s="107">
        <f t="shared" si="0"/>
        <v>314411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1788</v>
      </c>
      <c r="E30" s="116">
        <f>'１０月'!K30</f>
        <v>806465</v>
      </c>
      <c r="F30" s="112"/>
      <c r="G30" s="111"/>
      <c r="H30" s="110"/>
      <c r="I30" s="109"/>
      <c r="J30" s="108">
        <f t="shared" si="0"/>
        <v>1788</v>
      </c>
      <c r="K30" s="107">
        <f t="shared" si="0"/>
        <v>806465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23</v>
      </c>
      <c r="E32" s="116">
        <f>'１０月'!K32</f>
        <v>25387</v>
      </c>
      <c r="F32" s="112"/>
      <c r="G32" s="111"/>
      <c r="H32" s="110"/>
      <c r="I32" s="109"/>
      <c r="J32" s="108">
        <f t="shared" si="0"/>
        <v>23</v>
      </c>
      <c r="K32" s="107">
        <f t="shared" si="0"/>
        <v>25387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22498</v>
      </c>
      <c r="E33" s="116">
        <f>'１０月'!K33</f>
        <v>7146592</v>
      </c>
      <c r="F33" s="112"/>
      <c r="G33" s="111"/>
      <c r="H33" s="72"/>
      <c r="I33" s="109"/>
      <c r="J33" s="108">
        <f t="shared" si="0"/>
        <v>22498</v>
      </c>
      <c r="K33" s="107">
        <f t="shared" si="0"/>
        <v>7146592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105829</v>
      </c>
      <c r="E34" s="116">
        <f>'１０月'!K34</f>
        <v>7862388</v>
      </c>
      <c r="F34" s="112"/>
      <c r="G34" s="111"/>
      <c r="H34" s="110"/>
      <c r="I34" s="109"/>
      <c r="J34" s="108">
        <f t="shared" si="0"/>
        <v>105829</v>
      </c>
      <c r="K34" s="107">
        <f t="shared" si="0"/>
        <v>7862388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5328</v>
      </c>
      <c r="E35" s="116">
        <f>'１０月'!K35</f>
        <v>3656509</v>
      </c>
      <c r="F35" s="112"/>
      <c r="G35" s="111"/>
      <c r="H35" s="110"/>
      <c r="I35" s="109"/>
      <c r="J35" s="108">
        <f t="shared" si="0"/>
        <v>5328</v>
      </c>
      <c r="K35" s="107">
        <f t="shared" si="0"/>
        <v>3656509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282</v>
      </c>
      <c r="E36" s="116">
        <f>'１０月'!K36</f>
        <v>56840</v>
      </c>
      <c r="F36" s="112"/>
      <c r="G36" s="111"/>
      <c r="H36" s="110"/>
      <c r="I36" s="109"/>
      <c r="J36" s="108">
        <f t="shared" si="0"/>
        <v>282</v>
      </c>
      <c r="K36" s="107">
        <f t="shared" si="0"/>
        <v>56840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591</v>
      </c>
      <c r="E38" s="116">
        <f>'１０月'!K38</f>
        <v>122480</v>
      </c>
      <c r="F38" s="112"/>
      <c r="G38" s="111"/>
      <c r="H38" s="110"/>
      <c r="I38" s="109"/>
      <c r="J38" s="108">
        <f t="shared" si="0"/>
        <v>591</v>
      </c>
      <c r="K38" s="107">
        <f t="shared" si="0"/>
        <v>122480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1204</v>
      </c>
      <c r="E39" s="116">
        <f>'１０月'!K39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51470</v>
      </c>
      <c r="E42" s="116">
        <f>'１０月'!K42</f>
        <v>9463756</v>
      </c>
      <c r="F42" s="112"/>
      <c r="G42" s="111"/>
      <c r="H42" s="110"/>
      <c r="I42" s="109"/>
      <c r="J42" s="108">
        <f t="shared" si="0"/>
        <v>51470</v>
      </c>
      <c r="K42" s="107">
        <f t="shared" si="0"/>
        <v>9463756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9327</v>
      </c>
      <c r="E43" s="116">
        <f>'１０月'!K43</f>
        <v>14283313</v>
      </c>
      <c r="F43" s="112"/>
      <c r="G43" s="111"/>
      <c r="H43" s="110"/>
      <c r="I43" s="109"/>
      <c r="J43" s="108">
        <f t="shared" si="0"/>
        <v>9327</v>
      </c>
      <c r="K43" s="107">
        <f t="shared" si="0"/>
        <v>14283313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29</v>
      </c>
      <c r="E44" s="116">
        <f>'１０月'!K44</f>
        <v>128400</v>
      </c>
      <c r="F44" s="112"/>
      <c r="G44" s="111"/>
      <c r="H44" s="110"/>
      <c r="I44" s="109"/>
      <c r="J44" s="108">
        <f t="shared" si="0"/>
        <v>29</v>
      </c>
      <c r="K44" s="107">
        <f t="shared" si="0"/>
        <v>128400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5585</v>
      </c>
      <c r="E45" s="116">
        <f>'１０月'!K45</f>
        <v>2610815</v>
      </c>
      <c r="F45" s="112"/>
      <c r="G45" s="111"/>
      <c r="H45" s="110"/>
      <c r="I45" s="109"/>
      <c r="J45" s="108">
        <f t="shared" si="0"/>
        <v>5585</v>
      </c>
      <c r="K45" s="107">
        <f t="shared" si="0"/>
        <v>2610815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8936</v>
      </c>
      <c r="E46" s="116">
        <f>'１０月'!K46</f>
        <v>1364793</v>
      </c>
      <c r="F46" s="105"/>
      <c r="G46" s="104"/>
      <c r="H46" s="103"/>
      <c r="I46" s="102"/>
      <c r="J46" s="101">
        <f t="shared" si="0"/>
        <v>8936</v>
      </c>
      <c r="K46" s="100">
        <f t="shared" si="0"/>
        <v>1364793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3022</v>
      </c>
      <c r="E47" s="116">
        <f>'１０月'!K47</f>
        <v>1777131</v>
      </c>
      <c r="F47" s="105"/>
      <c r="G47" s="104"/>
      <c r="H47" s="103"/>
      <c r="I47" s="102"/>
      <c r="J47" s="101">
        <f t="shared" si="0"/>
        <v>3022</v>
      </c>
      <c r="K47" s="100">
        <f t="shared" si="0"/>
        <v>1777131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7421</v>
      </c>
      <c r="E49" s="116">
        <f>'１０月'!K49</f>
        <v>2690611</v>
      </c>
      <c r="F49" s="98"/>
      <c r="G49" s="97"/>
      <c r="H49" s="96"/>
      <c r="I49" s="95"/>
      <c r="J49" s="94">
        <f t="shared" si="0"/>
        <v>7421</v>
      </c>
      <c r="K49" s="93">
        <f t="shared" si="0"/>
        <v>2690611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329808</v>
      </c>
      <c r="E50" s="90">
        <f t="shared" si="1"/>
        <v>80842910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329808</v>
      </c>
      <c r="K50" s="87">
        <f t="shared" si="0"/>
        <v>80842910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36437</v>
      </c>
      <c r="E10" s="116">
        <f>'１１月'!K10</f>
        <v>9317499</v>
      </c>
      <c r="F10" s="119"/>
      <c r="G10" s="118"/>
      <c r="H10" s="117"/>
      <c r="I10" s="116"/>
      <c r="J10" s="115">
        <f aca="true" t="shared" si="0" ref="J10:K50">D10+F10-H10</f>
        <v>36437</v>
      </c>
      <c r="K10" s="114">
        <f t="shared" si="0"/>
        <v>9317499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39</v>
      </c>
      <c r="E11" s="116">
        <f>'１１月'!K11</f>
        <v>2166</v>
      </c>
      <c r="F11" s="105"/>
      <c r="G11" s="104"/>
      <c r="H11" s="103"/>
      <c r="I11" s="102"/>
      <c r="J11" s="101">
        <f t="shared" si="0"/>
        <v>39</v>
      </c>
      <c r="K11" s="100">
        <f t="shared" si="0"/>
        <v>2166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0</v>
      </c>
      <c r="E12" s="116">
        <f>'１１月'!K12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1102</v>
      </c>
      <c r="E13" s="116">
        <f>'１１月'!K13</f>
        <v>150770</v>
      </c>
      <c r="F13" s="105"/>
      <c r="G13" s="104"/>
      <c r="H13" s="103"/>
      <c r="I13" s="102"/>
      <c r="J13" s="101">
        <f t="shared" si="0"/>
        <v>1102</v>
      </c>
      <c r="K13" s="100">
        <f t="shared" si="0"/>
        <v>150770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0</v>
      </c>
      <c r="E17" s="116">
        <f>'１１月'!K17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44</v>
      </c>
      <c r="E18" s="116">
        <f>'１１月'!K18</f>
        <v>6134</v>
      </c>
      <c r="F18" s="105"/>
      <c r="G18" s="104"/>
      <c r="H18" s="103"/>
      <c r="I18" s="102"/>
      <c r="J18" s="101">
        <f t="shared" si="0"/>
        <v>44</v>
      </c>
      <c r="K18" s="100">
        <f t="shared" si="0"/>
        <v>6134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1</v>
      </c>
      <c r="E20" s="116">
        <f>'１１月'!K20</f>
        <v>3</v>
      </c>
      <c r="F20" s="105"/>
      <c r="G20" s="104"/>
      <c r="H20" s="103"/>
      <c r="I20" s="102"/>
      <c r="J20" s="101">
        <f t="shared" si="0"/>
        <v>1</v>
      </c>
      <c r="K20" s="100">
        <f t="shared" si="0"/>
        <v>3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7401</v>
      </c>
      <c r="E22" s="116">
        <f>'１１月'!K22</f>
        <v>1005120</v>
      </c>
      <c r="F22" s="105"/>
      <c r="G22" s="104"/>
      <c r="H22" s="103"/>
      <c r="I22" s="102"/>
      <c r="J22" s="101">
        <f t="shared" si="0"/>
        <v>7401</v>
      </c>
      <c r="K22" s="100">
        <f t="shared" si="0"/>
        <v>1005120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2971</v>
      </c>
      <c r="E23" s="116">
        <f>'１１月'!K23</f>
        <v>2726276</v>
      </c>
      <c r="F23" s="112"/>
      <c r="G23" s="111"/>
      <c r="H23" s="110"/>
      <c r="I23" s="109"/>
      <c r="J23" s="108">
        <f t="shared" si="0"/>
        <v>2971</v>
      </c>
      <c r="K23" s="107">
        <f t="shared" si="0"/>
        <v>2726276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25624</v>
      </c>
      <c r="E24" s="116">
        <f>'１１月'!K24</f>
        <v>3138406</v>
      </c>
      <c r="F24" s="105"/>
      <c r="G24" s="104"/>
      <c r="H24" s="103"/>
      <c r="I24" s="102"/>
      <c r="J24" s="101">
        <f t="shared" si="0"/>
        <v>25624</v>
      </c>
      <c r="K24" s="100">
        <f t="shared" si="0"/>
        <v>3138406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9438</v>
      </c>
      <c r="E25" s="116">
        <f>'１１月'!K25</f>
        <v>5398483</v>
      </c>
      <c r="F25" s="105"/>
      <c r="G25" s="104"/>
      <c r="H25" s="103"/>
      <c r="I25" s="102"/>
      <c r="J25" s="101">
        <f t="shared" si="0"/>
        <v>9438</v>
      </c>
      <c r="K25" s="100">
        <f t="shared" si="0"/>
        <v>5398483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19627</v>
      </c>
      <c r="E26" s="116">
        <f>'１１月'!K26</f>
        <v>5059262</v>
      </c>
      <c r="F26" s="105"/>
      <c r="G26" s="104"/>
      <c r="H26" s="103"/>
      <c r="I26" s="102"/>
      <c r="J26" s="101">
        <f t="shared" si="0"/>
        <v>19627</v>
      </c>
      <c r="K26" s="100">
        <f t="shared" si="0"/>
        <v>5059262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2084</v>
      </c>
      <c r="E27" s="116">
        <f>'１１月'!K27</f>
        <v>333000</v>
      </c>
      <c r="F27" s="105"/>
      <c r="G27" s="104"/>
      <c r="H27" s="103"/>
      <c r="I27" s="102"/>
      <c r="J27" s="101">
        <f t="shared" si="0"/>
        <v>2084</v>
      </c>
      <c r="K27" s="100">
        <f t="shared" si="0"/>
        <v>333000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650</v>
      </c>
      <c r="E28" s="116">
        <f>'１１月'!K28</f>
        <v>71500</v>
      </c>
      <c r="F28" s="105"/>
      <c r="G28" s="104"/>
      <c r="H28" s="103"/>
      <c r="I28" s="102"/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1057</v>
      </c>
      <c r="E29" s="116">
        <f>'１１月'!K29</f>
        <v>314411</v>
      </c>
      <c r="F29" s="74"/>
      <c r="G29" s="111"/>
      <c r="H29" s="110"/>
      <c r="I29" s="109"/>
      <c r="J29" s="108">
        <f t="shared" si="0"/>
        <v>1057</v>
      </c>
      <c r="K29" s="107">
        <f t="shared" si="0"/>
        <v>314411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1788</v>
      </c>
      <c r="E30" s="116">
        <f>'１１月'!K30</f>
        <v>806465</v>
      </c>
      <c r="F30" s="112"/>
      <c r="G30" s="111"/>
      <c r="H30" s="110"/>
      <c r="I30" s="109"/>
      <c r="J30" s="108">
        <f t="shared" si="0"/>
        <v>1788</v>
      </c>
      <c r="K30" s="107">
        <f t="shared" si="0"/>
        <v>806465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23</v>
      </c>
      <c r="E32" s="116">
        <f>'１１月'!K32</f>
        <v>25387</v>
      </c>
      <c r="F32" s="112"/>
      <c r="G32" s="111"/>
      <c r="H32" s="110"/>
      <c r="I32" s="109"/>
      <c r="J32" s="108">
        <f t="shared" si="0"/>
        <v>23</v>
      </c>
      <c r="K32" s="107">
        <f t="shared" si="0"/>
        <v>25387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22498</v>
      </c>
      <c r="E33" s="116">
        <f>'１１月'!K33</f>
        <v>7146592</v>
      </c>
      <c r="F33" s="112"/>
      <c r="G33" s="111"/>
      <c r="H33" s="72"/>
      <c r="I33" s="109"/>
      <c r="J33" s="108">
        <f t="shared" si="0"/>
        <v>22498</v>
      </c>
      <c r="K33" s="107">
        <f t="shared" si="0"/>
        <v>7146592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105829</v>
      </c>
      <c r="E34" s="116">
        <f>'１１月'!K34</f>
        <v>7862388</v>
      </c>
      <c r="F34" s="112"/>
      <c r="G34" s="111"/>
      <c r="H34" s="110"/>
      <c r="I34" s="109"/>
      <c r="J34" s="108">
        <f t="shared" si="0"/>
        <v>105829</v>
      </c>
      <c r="K34" s="107">
        <f t="shared" si="0"/>
        <v>7862388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5328</v>
      </c>
      <c r="E35" s="116">
        <f>'１１月'!K35</f>
        <v>3656509</v>
      </c>
      <c r="F35" s="112"/>
      <c r="G35" s="111"/>
      <c r="H35" s="110"/>
      <c r="I35" s="109"/>
      <c r="J35" s="108">
        <f t="shared" si="0"/>
        <v>5328</v>
      </c>
      <c r="K35" s="107">
        <f t="shared" si="0"/>
        <v>3656509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282</v>
      </c>
      <c r="E36" s="116">
        <f>'１１月'!K36</f>
        <v>56840</v>
      </c>
      <c r="F36" s="112"/>
      <c r="G36" s="111"/>
      <c r="H36" s="110"/>
      <c r="I36" s="109"/>
      <c r="J36" s="108">
        <f t="shared" si="0"/>
        <v>282</v>
      </c>
      <c r="K36" s="107">
        <f t="shared" si="0"/>
        <v>56840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591</v>
      </c>
      <c r="E38" s="116">
        <f>'１１月'!K38</f>
        <v>122480</v>
      </c>
      <c r="F38" s="112"/>
      <c r="G38" s="111"/>
      <c r="H38" s="110"/>
      <c r="I38" s="109"/>
      <c r="J38" s="108">
        <f t="shared" si="0"/>
        <v>591</v>
      </c>
      <c r="K38" s="107">
        <f t="shared" si="0"/>
        <v>122480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1204</v>
      </c>
      <c r="E39" s="116">
        <f>'１１月'!K39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51470</v>
      </c>
      <c r="E42" s="116">
        <f>'１１月'!K42</f>
        <v>9463756</v>
      </c>
      <c r="F42" s="112"/>
      <c r="G42" s="111"/>
      <c r="H42" s="110"/>
      <c r="I42" s="109"/>
      <c r="J42" s="108">
        <f t="shared" si="0"/>
        <v>51470</v>
      </c>
      <c r="K42" s="107">
        <f t="shared" si="0"/>
        <v>9463756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9327</v>
      </c>
      <c r="E43" s="116">
        <f>'１１月'!K43</f>
        <v>14283313</v>
      </c>
      <c r="F43" s="112"/>
      <c r="G43" s="111"/>
      <c r="H43" s="110"/>
      <c r="I43" s="109"/>
      <c r="J43" s="108">
        <f t="shared" si="0"/>
        <v>9327</v>
      </c>
      <c r="K43" s="107">
        <f t="shared" si="0"/>
        <v>14283313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29</v>
      </c>
      <c r="E44" s="116">
        <f>'１１月'!K44</f>
        <v>128400</v>
      </c>
      <c r="F44" s="112"/>
      <c r="G44" s="111"/>
      <c r="H44" s="110"/>
      <c r="I44" s="109"/>
      <c r="J44" s="108">
        <f t="shared" si="0"/>
        <v>29</v>
      </c>
      <c r="K44" s="107">
        <f t="shared" si="0"/>
        <v>128400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5585</v>
      </c>
      <c r="E45" s="116">
        <f>'１１月'!K45</f>
        <v>2610815</v>
      </c>
      <c r="F45" s="112"/>
      <c r="G45" s="111"/>
      <c r="H45" s="110"/>
      <c r="I45" s="109"/>
      <c r="J45" s="108">
        <f t="shared" si="0"/>
        <v>5585</v>
      </c>
      <c r="K45" s="107">
        <f t="shared" si="0"/>
        <v>2610815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8936</v>
      </c>
      <c r="E46" s="116">
        <f>'１１月'!K46</f>
        <v>1364793</v>
      </c>
      <c r="F46" s="105"/>
      <c r="G46" s="104"/>
      <c r="H46" s="103"/>
      <c r="I46" s="102"/>
      <c r="J46" s="101">
        <f t="shared" si="0"/>
        <v>8936</v>
      </c>
      <c r="K46" s="100">
        <f t="shared" si="0"/>
        <v>1364793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3022</v>
      </c>
      <c r="E47" s="116">
        <f>'１１月'!K47</f>
        <v>1777131</v>
      </c>
      <c r="F47" s="105"/>
      <c r="G47" s="104"/>
      <c r="H47" s="103"/>
      <c r="I47" s="102"/>
      <c r="J47" s="101">
        <f t="shared" si="0"/>
        <v>3022</v>
      </c>
      <c r="K47" s="100">
        <f t="shared" si="0"/>
        <v>1777131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7421</v>
      </c>
      <c r="E49" s="97">
        <f>'１１月'!K49</f>
        <v>2690611</v>
      </c>
      <c r="F49" s="98"/>
      <c r="G49" s="97"/>
      <c r="H49" s="96"/>
      <c r="I49" s="95"/>
      <c r="J49" s="94">
        <f t="shared" si="0"/>
        <v>7421</v>
      </c>
      <c r="K49" s="93">
        <f t="shared" si="0"/>
        <v>2690611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329808</v>
      </c>
      <c r="E50" s="90">
        <f t="shared" si="1"/>
        <v>80842910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329808</v>
      </c>
      <c r="K50" s="87">
        <f t="shared" si="0"/>
        <v>80842910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30" sqref="F30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30377</v>
      </c>
      <c r="E10" s="116">
        <f>'１月'!K10</f>
        <v>7816460</v>
      </c>
      <c r="F10" s="119">
        <v>3638</v>
      </c>
      <c r="G10" s="118">
        <v>692394</v>
      </c>
      <c r="H10" s="117">
        <v>1773</v>
      </c>
      <c r="I10" s="116">
        <v>334571</v>
      </c>
      <c r="J10" s="115">
        <f aca="true" t="shared" si="0" ref="J10:J50">D10+F10-H10</f>
        <v>32242</v>
      </c>
      <c r="K10" s="114">
        <f aca="true" t="shared" si="1" ref="K10:K50">E10+G10-I10</f>
        <v>8174283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0</v>
      </c>
      <c r="E11" s="116">
        <f>'１月'!K11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1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0</v>
      </c>
      <c r="E12" s="116">
        <f>'１月'!K12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1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711</v>
      </c>
      <c r="E13" s="116">
        <f>'１月'!K13</f>
        <v>144628</v>
      </c>
      <c r="F13" s="105">
        <v>660</v>
      </c>
      <c r="G13" s="104">
        <v>95475</v>
      </c>
      <c r="H13" s="103">
        <v>178</v>
      </c>
      <c r="I13" s="102">
        <v>64489</v>
      </c>
      <c r="J13" s="101">
        <f t="shared" si="0"/>
        <v>1193</v>
      </c>
      <c r="K13" s="100">
        <f t="shared" si="1"/>
        <v>175614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0</v>
      </c>
      <c r="E17" s="116">
        <f>'１月'!K17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1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73</v>
      </c>
      <c r="E18" s="116">
        <f>'１月'!K18</f>
        <v>12825</v>
      </c>
      <c r="F18" s="105">
        <v>48</v>
      </c>
      <c r="G18" s="104">
        <v>4560</v>
      </c>
      <c r="H18" s="103">
        <v>62</v>
      </c>
      <c r="I18" s="102">
        <v>6390</v>
      </c>
      <c r="J18" s="101">
        <f t="shared" si="0"/>
        <v>59</v>
      </c>
      <c r="K18" s="100">
        <f t="shared" si="1"/>
        <v>10995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26</v>
      </c>
      <c r="E20" s="116">
        <f>'１月'!K20</f>
        <v>1278</v>
      </c>
      <c r="F20" s="105">
        <v>22</v>
      </c>
      <c r="G20" s="104">
        <v>1062</v>
      </c>
      <c r="H20" s="103">
        <v>25</v>
      </c>
      <c r="I20" s="102">
        <v>1212</v>
      </c>
      <c r="J20" s="101">
        <f t="shared" si="0"/>
        <v>23</v>
      </c>
      <c r="K20" s="100">
        <f t="shared" si="1"/>
        <v>1128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5882</v>
      </c>
      <c r="E22" s="116">
        <f>'１月'!K22</f>
        <v>884280</v>
      </c>
      <c r="F22" s="105">
        <v>3967</v>
      </c>
      <c r="G22" s="104">
        <v>483520</v>
      </c>
      <c r="H22" s="103">
        <v>1854</v>
      </c>
      <c r="I22" s="102">
        <v>238340</v>
      </c>
      <c r="J22" s="101">
        <f t="shared" si="0"/>
        <v>7995</v>
      </c>
      <c r="K22" s="100">
        <f t="shared" si="1"/>
        <v>1129460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2718</v>
      </c>
      <c r="E23" s="116">
        <f>'１月'!K23</f>
        <v>1600759</v>
      </c>
      <c r="F23" s="112">
        <v>1279</v>
      </c>
      <c r="G23" s="111">
        <v>1321400</v>
      </c>
      <c r="H23" s="110">
        <v>1339</v>
      </c>
      <c r="I23" s="109">
        <v>1301854</v>
      </c>
      <c r="J23" s="108">
        <f t="shared" si="0"/>
        <v>2658</v>
      </c>
      <c r="K23" s="107">
        <f t="shared" si="1"/>
        <v>1620305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25842</v>
      </c>
      <c r="E24" s="116">
        <f>'１月'!K24</f>
        <v>3581707</v>
      </c>
      <c r="F24" s="105">
        <v>1094</v>
      </c>
      <c r="G24" s="104">
        <v>3007468</v>
      </c>
      <c r="H24" s="103">
        <v>1118</v>
      </c>
      <c r="I24" s="102">
        <v>3021386</v>
      </c>
      <c r="J24" s="101">
        <f t="shared" si="0"/>
        <v>25818</v>
      </c>
      <c r="K24" s="100">
        <f t="shared" si="1"/>
        <v>3567789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7823</v>
      </c>
      <c r="E25" s="116">
        <f>'１月'!K25</f>
        <v>6135729</v>
      </c>
      <c r="F25" s="105">
        <v>5517</v>
      </c>
      <c r="G25" s="104">
        <v>1409700</v>
      </c>
      <c r="H25" s="103">
        <v>5297</v>
      </c>
      <c r="I25" s="102">
        <v>1468804</v>
      </c>
      <c r="J25" s="101">
        <f t="shared" si="0"/>
        <v>8043</v>
      </c>
      <c r="K25" s="100">
        <f t="shared" si="1"/>
        <v>6076625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18866</v>
      </c>
      <c r="E26" s="116">
        <f>'１月'!K26</f>
        <v>6202613</v>
      </c>
      <c r="F26" s="105">
        <v>8100</v>
      </c>
      <c r="G26" s="104">
        <v>1823891</v>
      </c>
      <c r="H26" s="103">
        <v>7415</v>
      </c>
      <c r="I26" s="102">
        <v>1461472</v>
      </c>
      <c r="J26" s="101">
        <f t="shared" si="0"/>
        <v>19551</v>
      </c>
      <c r="K26" s="100">
        <f t="shared" si="1"/>
        <v>6565032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2086</v>
      </c>
      <c r="E27" s="116">
        <f>'１月'!K27</f>
        <v>334500</v>
      </c>
      <c r="F27" s="105">
        <v>227</v>
      </c>
      <c r="G27" s="104">
        <v>63850</v>
      </c>
      <c r="H27" s="103">
        <v>231</v>
      </c>
      <c r="I27" s="102">
        <v>68450</v>
      </c>
      <c r="J27" s="101">
        <f t="shared" si="0"/>
        <v>2082</v>
      </c>
      <c r="K27" s="100">
        <f t="shared" si="1"/>
        <v>329900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750</v>
      </c>
      <c r="E28" s="116">
        <f>'１月'!K28</f>
        <v>82500</v>
      </c>
      <c r="F28" s="105">
        <v>1200</v>
      </c>
      <c r="G28" s="104">
        <v>132000</v>
      </c>
      <c r="H28" s="103">
        <v>1170</v>
      </c>
      <c r="I28" s="102">
        <v>128700</v>
      </c>
      <c r="J28" s="101">
        <f t="shared" si="0"/>
        <v>780</v>
      </c>
      <c r="K28" s="100">
        <f t="shared" si="1"/>
        <v>85800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1088</v>
      </c>
      <c r="E29" s="116">
        <f>'１月'!K29</f>
        <v>309197</v>
      </c>
      <c r="F29" s="74">
        <f>20+44</f>
        <v>64</v>
      </c>
      <c r="G29" s="111">
        <f>4000+50086</f>
        <v>54086</v>
      </c>
      <c r="H29" s="110">
        <f>20+46</f>
        <v>66</v>
      </c>
      <c r="I29" s="109">
        <f>4000+38977</f>
        <v>42977</v>
      </c>
      <c r="J29" s="108">
        <f t="shared" si="0"/>
        <v>1086</v>
      </c>
      <c r="K29" s="107">
        <f t="shared" si="1"/>
        <v>320306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1378</v>
      </c>
      <c r="E30" s="116">
        <f>'１月'!K30</f>
        <v>784027</v>
      </c>
      <c r="F30" s="112">
        <f>317+303</f>
        <v>620</v>
      </c>
      <c r="G30" s="111">
        <f>155592+50065</f>
        <v>205657</v>
      </c>
      <c r="H30" s="110">
        <f>282+312</f>
        <v>594</v>
      </c>
      <c r="I30" s="109">
        <f>147027+40441</f>
        <v>187468</v>
      </c>
      <c r="J30" s="108">
        <f t="shared" si="0"/>
        <v>1404</v>
      </c>
      <c r="K30" s="107">
        <f t="shared" si="1"/>
        <v>802216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33</v>
      </c>
      <c r="E32" s="116">
        <f>'１月'!K32</f>
        <v>49235</v>
      </c>
      <c r="F32" s="112">
        <v>5</v>
      </c>
      <c r="G32" s="111">
        <v>4000</v>
      </c>
      <c r="H32" s="110">
        <v>5</v>
      </c>
      <c r="I32" s="109">
        <v>4387</v>
      </c>
      <c r="J32" s="108">
        <f t="shared" si="0"/>
        <v>33</v>
      </c>
      <c r="K32" s="107">
        <f t="shared" si="1"/>
        <v>48848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23848</v>
      </c>
      <c r="E33" s="116">
        <f>'１月'!K33</f>
        <v>7922608</v>
      </c>
      <c r="F33" s="112">
        <v>15001</v>
      </c>
      <c r="G33" s="111">
        <v>4491673</v>
      </c>
      <c r="H33" s="72">
        <v>15224</v>
      </c>
      <c r="I33" s="109">
        <v>4559170</v>
      </c>
      <c r="J33" s="108">
        <f t="shared" si="0"/>
        <v>23625</v>
      </c>
      <c r="K33" s="107">
        <f t="shared" si="1"/>
        <v>7855111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88425</v>
      </c>
      <c r="E34" s="116">
        <f>'１月'!K34</f>
        <v>5968723</v>
      </c>
      <c r="F34" s="112">
        <f>34738+223</f>
        <v>34961</v>
      </c>
      <c r="G34" s="111">
        <f>5206248+235000</f>
        <v>5441248</v>
      </c>
      <c r="H34" s="110">
        <f>31203+217</f>
        <v>31420</v>
      </c>
      <c r="I34" s="109">
        <f>4468561+245900</f>
        <v>4714461</v>
      </c>
      <c r="J34" s="108">
        <f t="shared" si="0"/>
        <v>91966</v>
      </c>
      <c r="K34" s="107">
        <f t="shared" si="1"/>
        <v>6695510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4479</v>
      </c>
      <c r="E35" s="123">
        <f>'１月'!K35</f>
        <v>3577932</v>
      </c>
      <c r="F35" s="112">
        <v>2596</v>
      </c>
      <c r="G35" s="111">
        <v>413973</v>
      </c>
      <c r="H35" s="110">
        <v>782</v>
      </c>
      <c r="I35" s="109">
        <v>103287</v>
      </c>
      <c r="J35" s="108">
        <f t="shared" si="0"/>
        <v>6293</v>
      </c>
      <c r="K35" s="107">
        <f t="shared" si="1"/>
        <v>3888618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334</v>
      </c>
      <c r="E36" s="116">
        <f>'１月'!K36</f>
        <v>67560</v>
      </c>
      <c r="F36" s="112">
        <v>377</v>
      </c>
      <c r="G36" s="111">
        <v>76200</v>
      </c>
      <c r="H36" s="110">
        <v>364</v>
      </c>
      <c r="I36" s="109">
        <v>78280</v>
      </c>
      <c r="J36" s="108">
        <f t="shared" si="0"/>
        <v>347</v>
      </c>
      <c r="K36" s="107">
        <f t="shared" si="1"/>
        <v>65480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0</v>
      </c>
      <c r="E38" s="116">
        <f>'１月'!K38</f>
        <v>0</v>
      </c>
      <c r="F38" s="112">
        <v>0</v>
      </c>
      <c r="G38" s="111">
        <v>0</v>
      </c>
      <c r="H38" s="110">
        <v>0</v>
      </c>
      <c r="I38" s="109">
        <v>0</v>
      </c>
      <c r="J38" s="108">
        <f t="shared" si="0"/>
        <v>0</v>
      </c>
      <c r="K38" s="107">
        <f t="shared" si="1"/>
        <v>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1224</v>
      </c>
      <c r="E39" s="116">
        <f>'１月'!K39</f>
        <v>1346400</v>
      </c>
      <c r="F39" s="112">
        <v>40</v>
      </c>
      <c r="G39" s="111">
        <v>44000</v>
      </c>
      <c r="H39" s="110">
        <v>60</v>
      </c>
      <c r="I39" s="109">
        <v>66000</v>
      </c>
      <c r="J39" s="108">
        <f t="shared" si="0"/>
        <v>1204</v>
      </c>
      <c r="K39" s="107">
        <f t="shared" si="1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27352</v>
      </c>
      <c r="E42" s="116">
        <f>'１月'!K42</f>
        <v>2578602</v>
      </c>
      <c r="F42" s="112">
        <v>19058</v>
      </c>
      <c r="G42" s="111">
        <v>5208330</v>
      </c>
      <c r="H42" s="110">
        <v>17288</v>
      </c>
      <c r="I42" s="109">
        <v>4832014</v>
      </c>
      <c r="J42" s="108">
        <f t="shared" si="0"/>
        <v>29122</v>
      </c>
      <c r="K42" s="107">
        <f t="shared" si="1"/>
        <v>2954918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7675</v>
      </c>
      <c r="E43" s="116">
        <f>'１月'!K43</f>
        <v>8089939</v>
      </c>
      <c r="F43" s="112">
        <v>8879</v>
      </c>
      <c r="G43" s="111">
        <v>13877350</v>
      </c>
      <c r="H43" s="110">
        <v>8647</v>
      </c>
      <c r="I43" s="109">
        <v>11095968</v>
      </c>
      <c r="J43" s="108">
        <f t="shared" si="0"/>
        <v>7907</v>
      </c>
      <c r="K43" s="107">
        <f t="shared" si="1"/>
        <v>10871321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20</v>
      </c>
      <c r="E44" s="116">
        <f>'１月'!K44</f>
        <v>115080</v>
      </c>
      <c r="F44" s="112">
        <v>3</v>
      </c>
      <c r="G44" s="111">
        <v>3210</v>
      </c>
      <c r="H44" s="110">
        <v>4</v>
      </c>
      <c r="I44" s="109">
        <v>4650</v>
      </c>
      <c r="J44" s="108">
        <f t="shared" si="0"/>
        <v>19</v>
      </c>
      <c r="K44" s="107">
        <f t="shared" si="1"/>
        <v>113640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4145</v>
      </c>
      <c r="E45" s="116">
        <f>'１月'!K45</f>
        <v>3445552</v>
      </c>
      <c r="F45" s="112">
        <v>3369</v>
      </c>
      <c r="G45" s="111">
        <v>2690665</v>
      </c>
      <c r="H45" s="110">
        <v>2760</v>
      </c>
      <c r="I45" s="109">
        <v>2443428</v>
      </c>
      <c r="J45" s="108">
        <f t="shared" si="0"/>
        <v>4754</v>
      </c>
      <c r="K45" s="107">
        <f t="shared" si="1"/>
        <v>3692789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10214</v>
      </c>
      <c r="E46" s="116">
        <f>'１月'!K46</f>
        <v>3214884</v>
      </c>
      <c r="F46" s="105">
        <v>3180</v>
      </c>
      <c r="G46" s="104">
        <v>609112</v>
      </c>
      <c r="H46" s="103">
        <v>10218</v>
      </c>
      <c r="I46" s="102">
        <v>1782596</v>
      </c>
      <c r="J46" s="101">
        <f t="shared" si="0"/>
        <v>3176</v>
      </c>
      <c r="K46" s="100">
        <f t="shared" si="1"/>
        <v>2041400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2871</v>
      </c>
      <c r="E47" s="116">
        <f>'１月'!K47</f>
        <v>1879163</v>
      </c>
      <c r="F47" s="105">
        <v>809</v>
      </c>
      <c r="G47" s="104">
        <v>437897</v>
      </c>
      <c r="H47" s="103">
        <v>837</v>
      </c>
      <c r="I47" s="102">
        <v>416618</v>
      </c>
      <c r="J47" s="101">
        <f t="shared" si="0"/>
        <v>2843</v>
      </c>
      <c r="K47" s="100">
        <f t="shared" si="1"/>
        <v>1900442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7389</v>
      </c>
      <c r="E49" s="116">
        <f>'１月'!K49</f>
        <v>2215959</v>
      </c>
      <c r="F49" s="98">
        <v>4685</v>
      </c>
      <c r="G49" s="97">
        <v>1315705</v>
      </c>
      <c r="H49" s="96">
        <v>5365</v>
      </c>
      <c r="I49" s="95">
        <v>1249268</v>
      </c>
      <c r="J49" s="94">
        <f t="shared" si="0"/>
        <v>6709</v>
      </c>
      <c r="K49" s="93">
        <f t="shared" si="1"/>
        <v>2282396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275629</v>
      </c>
      <c r="E50" s="90">
        <f t="shared" si="2"/>
        <v>68362356</v>
      </c>
      <c r="F50" s="89">
        <f t="shared" si="2"/>
        <v>119399</v>
      </c>
      <c r="G50" s="87">
        <f t="shared" si="2"/>
        <v>43908426</v>
      </c>
      <c r="H50" s="89">
        <f t="shared" si="2"/>
        <v>114096</v>
      </c>
      <c r="I50" s="87">
        <f t="shared" si="2"/>
        <v>39676240</v>
      </c>
      <c r="J50" s="88">
        <f t="shared" si="0"/>
        <v>280932</v>
      </c>
      <c r="K50" s="87">
        <f t="shared" si="1"/>
        <v>72594542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3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55" sqref="E55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32242</v>
      </c>
      <c r="E10" s="116">
        <f>'２月'!K10</f>
        <v>8174283</v>
      </c>
      <c r="F10" s="119">
        <v>824</v>
      </c>
      <c r="G10" s="118">
        <v>85235</v>
      </c>
      <c r="H10" s="117">
        <v>1318</v>
      </c>
      <c r="I10" s="116">
        <v>238786</v>
      </c>
      <c r="J10" s="115">
        <f aca="true" t="shared" si="0" ref="J10:K50">D10+F10-H10</f>
        <v>31748</v>
      </c>
      <c r="K10" s="114">
        <f t="shared" si="0"/>
        <v>8020732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0</v>
      </c>
      <c r="E11" s="116">
        <f>'２月'!K11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0</v>
      </c>
      <c r="E12" s="116">
        <f>'２月'!K12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1193</v>
      </c>
      <c r="E13" s="116">
        <f>'２月'!K13</f>
        <v>175614</v>
      </c>
      <c r="F13" s="105">
        <v>40</v>
      </c>
      <c r="G13" s="104">
        <v>400</v>
      </c>
      <c r="H13" s="103">
        <v>196</v>
      </c>
      <c r="I13" s="102">
        <v>28324</v>
      </c>
      <c r="J13" s="101">
        <f t="shared" si="0"/>
        <v>1037</v>
      </c>
      <c r="K13" s="100">
        <f t="shared" si="0"/>
        <v>147690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0</v>
      </c>
      <c r="E17" s="116">
        <f>'２月'!K17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59</v>
      </c>
      <c r="E18" s="116">
        <f>'２月'!K18</f>
        <v>10995</v>
      </c>
      <c r="F18" s="105">
        <v>73</v>
      </c>
      <c r="G18" s="104">
        <v>6960</v>
      </c>
      <c r="H18" s="103">
        <v>68</v>
      </c>
      <c r="I18" s="102">
        <v>7040</v>
      </c>
      <c r="J18" s="101">
        <f t="shared" si="0"/>
        <v>64</v>
      </c>
      <c r="K18" s="100">
        <f t="shared" si="0"/>
        <v>10915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23</v>
      </c>
      <c r="E20" s="116">
        <f>'２月'!K20</f>
        <v>1128</v>
      </c>
      <c r="F20" s="105">
        <v>17</v>
      </c>
      <c r="G20" s="104">
        <v>819</v>
      </c>
      <c r="H20" s="103">
        <v>26</v>
      </c>
      <c r="I20" s="102">
        <v>1278</v>
      </c>
      <c r="J20" s="101">
        <f t="shared" si="0"/>
        <v>14</v>
      </c>
      <c r="K20" s="100">
        <f t="shared" si="0"/>
        <v>669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7995</v>
      </c>
      <c r="E22" s="116">
        <f>'２月'!K22</f>
        <v>1129460</v>
      </c>
      <c r="F22" s="105">
        <v>7001</v>
      </c>
      <c r="G22" s="104">
        <v>748440</v>
      </c>
      <c r="H22" s="103">
        <v>3451</v>
      </c>
      <c r="I22" s="102">
        <v>397860</v>
      </c>
      <c r="J22" s="101">
        <f t="shared" si="0"/>
        <v>11545</v>
      </c>
      <c r="K22" s="100">
        <f t="shared" si="0"/>
        <v>1480040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2658</v>
      </c>
      <c r="E23" s="116">
        <f>'２月'!K23</f>
        <v>1620305</v>
      </c>
      <c r="F23" s="112">
        <v>1658</v>
      </c>
      <c r="G23" s="111">
        <v>1650950</v>
      </c>
      <c r="H23" s="110">
        <v>1466</v>
      </c>
      <c r="I23" s="109">
        <v>1434132</v>
      </c>
      <c r="J23" s="108">
        <f t="shared" si="0"/>
        <v>2850</v>
      </c>
      <c r="K23" s="107">
        <f t="shared" si="0"/>
        <v>1837123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25818</v>
      </c>
      <c r="E24" s="116">
        <f>'２月'!K24</f>
        <v>3567789</v>
      </c>
      <c r="F24" s="105">
        <v>1021</v>
      </c>
      <c r="G24" s="104">
        <v>3165350</v>
      </c>
      <c r="H24" s="103">
        <v>1047</v>
      </c>
      <c r="I24" s="102">
        <v>3215373</v>
      </c>
      <c r="J24" s="101">
        <f t="shared" si="0"/>
        <v>25792</v>
      </c>
      <c r="K24" s="100">
        <f t="shared" si="0"/>
        <v>3517766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8043</v>
      </c>
      <c r="E25" s="116">
        <f>'２月'!K25</f>
        <v>6076625</v>
      </c>
      <c r="F25" s="105">
        <v>5472</v>
      </c>
      <c r="G25" s="104">
        <v>1284903</v>
      </c>
      <c r="H25" s="103">
        <f>4975+23</f>
        <v>4998</v>
      </c>
      <c r="I25" s="102">
        <f>1294817+168688</f>
        <v>1463505</v>
      </c>
      <c r="J25" s="101">
        <f t="shared" si="0"/>
        <v>8517</v>
      </c>
      <c r="K25" s="100">
        <f t="shared" si="0"/>
        <v>5898023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19551</v>
      </c>
      <c r="E26" s="116">
        <f>'２月'!K26</f>
        <v>6565032</v>
      </c>
      <c r="F26" s="105">
        <v>7947</v>
      </c>
      <c r="G26" s="104">
        <v>1604036</v>
      </c>
      <c r="H26" s="103">
        <v>8360</v>
      </c>
      <c r="I26" s="102">
        <v>1710656</v>
      </c>
      <c r="J26" s="101">
        <f t="shared" si="0"/>
        <v>19138</v>
      </c>
      <c r="K26" s="100">
        <f t="shared" si="0"/>
        <v>6458412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2082</v>
      </c>
      <c r="E27" s="116">
        <f>'２月'!K27</f>
        <v>329900</v>
      </c>
      <c r="F27" s="105">
        <v>254</v>
      </c>
      <c r="G27" s="104">
        <v>66550</v>
      </c>
      <c r="H27" s="103">
        <v>268</v>
      </c>
      <c r="I27" s="102">
        <v>70450</v>
      </c>
      <c r="J27" s="101">
        <f t="shared" si="0"/>
        <v>2068</v>
      </c>
      <c r="K27" s="100">
        <f t="shared" si="0"/>
        <v>326000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780</v>
      </c>
      <c r="E28" s="116">
        <f>'２月'!K28</f>
        <v>85800</v>
      </c>
      <c r="F28" s="105">
        <v>1100</v>
      </c>
      <c r="G28" s="104">
        <v>121000</v>
      </c>
      <c r="H28" s="103">
        <v>1180</v>
      </c>
      <c r="I28" s="102">
        <v>129800</v>
      </c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1086</v>
      </c>
      <c r="E29" s="123">
        <f>'２月'!K29</f>
        <v>320306</v>
      </c>
      <c r="F29" s="112">
        <f>20+22</f>
        <v>42</v>
      </c>
      <c r="G29" s="111">
        <f>4000+42130</f>
        <v>46130</v>
      </c>
      <c r="H29" s="110">
        <f>20+38</f>
        <v>58</v>
      </c>
      <c r="I29" s="109">
        <f>4000+41897</f>
        <v>45897</v>
      </c>
      <c r="J29" s="108">
        <f t="shared" si="0"/>
        <v>1070</v>
      </c>
      <c r="K29" s="107">
        <f t="shared" si="0"/>
        <v>320539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1404</v>
      </c>
      <c r="E30" s="123">
        <f>'２月'!K30</f>
        <v>802216</v>
      </c>
      <c r="F30" s="112">
        <f>301+254</f>
        <v>555</v>
      </c>
      <c r="G30" s="111">
        <f>156300+101795</f>
        <v>258095</v>
      </c>
      <c r="H30" s="110">
        <f>326+220</f>
        <v>546</v>
      </c>
      <c r="I30" s="109">
        <f>163365+36777</f>
        <v>200142</v>
      </c>
      <c r="J30" s="108">
        <f t="shared" si="0"/>
        <v>1413</v>
      </c>
      <c r="K30" s="107">
        <f t="shared" si="0"/>
        <v>860169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33</v>
      </c>
      <c r="E32" s="123">
        <f>'２月'!K32</f>
        <v>48848</v>
      </c>
      <c r="F32" s="112">
        <v>20</v>
      </c>
      <c r="G32" s="111">
        <v>15955</v>
      </c>
      <c r="H32" s="110">
        <v>20</v>
      </c>
      <c r="I32" s="109">
        <v>16174</v>
      </c>
      <c r="J32" s="108">
        <f t="shared" si="0"/>
        <v>33</v>
      </c>
      <c r="K32" s="107">
        <f t="shared" si="0"/>
        <v>48629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23625</v>
      </c>
      <c r="E33" s="123">
        <f>'２月'!K33</f>
        <v>7855111</v>
      </c>
      <c r="F33" s="112">
        <v>16152</v>
      </c>
      <c r="G33" s="111">
        <v>4717964</v>
      </c>
      <c r="H33" s="72">
        <v>16255</v>
      </c>
      <c r="I33" s="109">
        <v>4820987</v>
      </c>
      <c r="J33" s="108">
        <f t="shared" si="0"/>
        <v>23522</v>
      </c>
      <c r="K33" s="107">
        <f t="shared" si="0"/>
        <v>7752088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91966</v>
      </c>
      <c r="E34" s="123">
        <f>'２月'!K34</f>
        <v>6695510</v>
      </c>
      <c r="F34" s="112">
        <f>34256+292</f>
        <v>34548</v>
      </c>
      <c r="G34" s="111">
        <f>4912545+300500</f>
        <v>5213045</v>
      </c>
      <c r="H34" s="110">
        <f>32001+242</f>
        <v>32243</v>
      </c>
      <c r="I34" s="109">
        <f>4771387+292500</f>
        <v>5063887</v>
      </c>
      <c r="J34" s="108">
        <f t="shared" si="0"/>
        <v>94271</v>
      </c>
      <c r="K34" s="107">
        <f t="shared" si="0"/>
        <v>6844668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6293</v>
      </c>
      <c r="E35" s="116">
        <f>'２月'!K35</f>
        <v>3888618</v>
      </c>
      <c r="F35" s="112">
        <v>929</v>
      </c>
      <c r="G35" s="111">
        <v>125207</v>
      </c>
      <c r="H35" s="110">
        <v>1443</v>
      </c>
      <c r="I35" s="109">
        <v>286552</v>
      </c>
      <c r="J35" s="108">
        <f t="shared" si="0"/>
        <v>5779</v>
      </c>
      <c r="K35" s="107">
        <f t="shared" si="0"/>
        <v>3727273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347</v>
      </c>
      <c r="E36" s="116">
        <f>'２月'!K36</f>
        <v>65480</v>
      </c>
      <c r="F36" s="112">
        <v>448</v>
      </c>
      <c r="G36" s="111">
        <v>89280</v>
      </c>
      <c r="H36" s="110">
        <v>397</v>
      </c>
      <c r="I36" s="109">
        <v>74360</v>
      </c>
      <c r="J36" s="108">
        <f t="shared" si="0"/>
        <v>398</v>
      </c>
      <c r="K36" s="107">
        <f t="shared" si="0"/>
        <v>80400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0</v>
      </c>
      <c r="E38" s="116">
        <f>'２月'!K38</f>
        <v>0</v>
      </c>
      <c r="F38" s="112">
        <v>51</v>
      </c>
      <c r="G38" s="111">
        <v>12160</v>
      </c>
      <c r="H38" s="110">
        <v>0</v>
      </c>
      <c r="I38" s="109">
        <v>0</v>
      </c>
      <c r="J38" s="108">
        <f t="shared" si="0"/>
        <v>51</v>
      </c>
      <c r="K38" s="107">
        <f t="shared" si="0"/>
        <v>12160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1204</v>
      </c>
      <c r="E39" s="116">
        <f>'２月'!K39</f>
        <v>1324400</v>
      </c>
      <c r="F39" s="112">
        <v>120</v>
      </c>
      <c r="G39" s="111">
        <v>132000</v>
      </c>
      <c r="H39" s="110">
        <v>140</v>
      </c>
      <c r="I39" s="109">
        <v>154000</v>
      </c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29122</v>
      </c>
      <c r="E42" s="116">
        <f>'２月'!K42</f>
        <v>2954918</v>
      </c>
      <c r="F42" s="112">
        <v>21177</v>
      </c>
      <c r="G42" s="111">
        <v>6034946</v>
      </c>
      <c r="H42" s="110">
        <v>23408</v>
      </c>
      <c r="I42" s="109">
        <v>6495127</v>
      </c>
      <c r="J42" s="108">
        <f t="shared" si="0"/>
        <v>26891</v>
      </c>
      <c r="K42" s="107">
        <f t="shared" si="0"/>
        <v>2494737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7907</v>
      </c>
      <c r="E43" s="116">
        <f>'２月'!K43</f>
        <v>10871321</v>
      </c>
      <c r="F43" s="112">
        <v>10437</v>
      </c>
      <c r="G43" s="111">
        <v>13623192</v>
      </c>
      <c r="H43" s="110">
        <v>10333</v>
      </c>
      <c r="I43" s="109">
        <v>13643661</v>
      </c>
      <c r="J43" s="108">
        <f t="shared" si="0"/>
        <v>8011</v>
      </c>
      <c r="K43" s="107">
        <f t="shared" si="0"/>
        <v>10850852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19</v>
      </c>
      <c r="E44" s="116">
        <f>'２月'!K44</f>
        <v>113640</v>
      </c>
      <c r="F44" s="112">
        <v>13</v>
      </c>
      <c r="G44" s="111">
        <v>18090</v>
      </c>
      <c r="H44" s="110">
        <v>7</v>
      </c>
      <c r="I44" s="109">
        <v>9090</v>
      </c>
      <c r="J44" s="108">
        <f t="shared" si="0"/>
        <v>25</v>
      </c>
      <c r="K44" s="107">
        <f t="shared" si="0"/>
        <v>122640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4754</v>
      </c>
      <c r="E45" s="116">
        <f>'２月'!K45</f>
        <v>3692789</v>
      </c>
      <c r="F45" s="112">
        <v>6249</v>
      </c>
      <c r="G45" s="111">
        <v>3007844</v>
      </c>
      <c r="H45" s="110">
        <v>4526</v>
      </c>
      <c r="I45" s="109">
        <v>3417234</v>
      </c>
      <c r="J45" s="108">
        <f t="shared" si="0"/>
        <v>6477</v>
      </c>
      <c r="K45" s="107">
        <f t="shared" si="0"/>
        <v>3283399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3176</v>
      </c>
      <c r="E46" s="116">
        <f>'２月'!K46</f>
        <v>2041400</v>
      </c>
      <c r="F46" s="105">
        <v>11952</v>
      </c>
      <c r="G46" s="104">
        <v>972466</v>
      </c>
      <c r="H46" s="103">
        <v>4340</v>
      </c>
      <c r="I46" s="102">
        <v>834052</v>
      </c>
      <c r="J46" s="101">
        <f t="shared" si="0"/>
        <v>10788</v>
      </c>
      <c r="K46" s="100">
        <f t="shared" si="0"/>
        <v>2179814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2843</v>
      </c>
      <c r="E47" s="123">
        <f>'２月'!K47</f>
        <v>1900442</v>
      </c>
      <c r="F47" s="112">
        <v>855</v>
      </c>
      <c r="G47" s="111">
        <v>447591</v>
      </c>
      <c r="H47" s="110">
        <v>746</v>
      </c>
      <c r="I47" s="109">
        <v>534578</v>
      </c>
      <c r="J47" s="108">
        <f t="shared" si="0"/>
        <v>2952</v>
      </c>
      <c r="K47" s="107">
        <f t="shared" si="0"/>
        <v>1813455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6709</v>
      </c>
      <c r="E49" s="123">
        <f>'２月'!K49</f>
        <v>2282396</v>
      </c>
      <c r="F49" s="124">
        <v>7797</v>
      </c>
      <c r="G49" s="125">
        <v>2689591</v>
      </c>
      <c r="H49" s="126">
        <v>7234</v>
      </c>
      <c r="I49" s="127">
        <v>2628572</v>
      </c>
      <c r="J49" s="128">
        <f t="shared" si="0"/>
        <v>7272</v>
      </c>
      <c r="K49" s="129">
        <f t="shared" si="0"/>
        <v>2343415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280932</v>
      </c>
      <c r="E50" s="131">
        <f t="shared" si="1"/>
        <v>72594542</v>
      </c>
      <c r="F50" s="132">
        <f t="shared" si="1"/>
        <v>136752</v>
      </c>
      <c r="G50" s="133">
        <f t="shared" si="1"/>
        <v>46138199</v>
      </c>
      <c r="H50" s="132">
        <f t="shared" si="1"/>
        <v>124074</v>
      </c>
      <c r="I50" s="133">
        <f t="shared" si="1"/>
        <v>46921517</v>
      </c>
      <c r="J50" s="134">
        <f t="shared" si="0"/>
        <v>293610</v>
      </c>
      <c r="K50" s="133">
        <f t="shared" si="0"/>
        <v>71811224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22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31748</v>
      </c>
      <c r="E10" s="116">
        <f>'３月'!K10</f>
        <v>8020732</v>
      </c>
      <c r="F10" s="119">
        <v>3639</v>
      </c>
      <c r="G10" s="118">
        <v>756910</v>
      </c>
      <c r="H10" s="117">
        <v>4503</v>
      </c>
      <c r="I10" s="116">
        <v>795962</v>
      </c>
      <c r="J10" s="115">
        <f aca="true" t="shared" si="0" ref="J10:K50">D10+F10-H10</f>
        <v>30884</v>
      </c>
      <c r="K10" s="114">
        <f t="shared" si="0"/>
        <v>7981680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0</v>
      </c>
      <c r="E11" s="116">
        <f>'３月'!K11</f>
        <v>216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0</v>
      </c>
      <c r="K11" s="100">
        <f t="shared" si="0"/>
        <v>216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0</v>
      </c>
      <c r="E12" s="116">
        <f>'３月'!K12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1037</v>
      </c>
      <c r="E13" s="116">
        <f>'３月'!K13</f>
        <v>147690</v>
      </c>
      <c r="F13" s="105">
        <v>193</v>
      </c>
      <c r="G13" s="104">
        <v>32080</v>
      </c>
      <c r="H13" s="103">
        <v>629</v>
      </c>
      <c r="I13" s="102">
        <v>86624</v>
      </c>
      <c r="J13" s="101">
        <f t="shared" si="0"/>
        <v>601</v>
      </c>
      <c r="K13" s="100">
        <f t="shared" si="0"/>
        <v>93146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0</v>
      </c>
      <c r="E17" s="116">
        <f>'３月'!K17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64</v>
      </c>
      <c r="E18" s="116">
        <f>'３月'!K18</f>
        <v>10915</v>
      </c>
      <c r="F18" s="105">
        <v>72</v>
      </c>
      <c r="G18" s="104">
        <v>6840</v>
      </c>
      <c r="H18" s="103">
        <v>72</v>
      </c>
      <c r="I18" s="102">
        <v>7720</v>
      </c>
      <c r="J18" s="101">
        <f t="shared" si="0"/>
        <v>64</v>
      </c>
      <c r="K18" s="100">
        <f t="shared" si="0"/>
        <v>10035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14</v>
      </c>
      <c r="E20" s="116">
        <f>'３月'!K20</f>
        <v>669</v>
      </c>
      <c r="F20" s="105">
        <v>17</v>
      </c>
      <c r="G20" s="104">
        <v>819</v>
      </c>
      <c r="H20" s="103">
        <v>20</v>
      </c>
      <c r="I20" s="102">
        <v>984</v>
      </c>
      <c r="J20" s="101">
        <f t="shared" si="0"/>
        <v>11</v>
      </c>
      <c r="K20" s="100">
        <f t="shared" si="0"/>
        <v>504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11545</v>
      </c>
      <c r="E22" s="116">
        <f>'３月'!K22</f>
        <v>1480040</v>
      </c>
      <c r="F22" s="105">
        <v>4451</v>
      </c>
      <c r="G22" s="104">
        <v>527620</v>
      </c>
      <c r="H22" s="103">
        <v>5447</v>
      </c>
      <c r="I22" s="102">
        <v>620420</v>
      </c>
      <c r="J22" s="101">
        <f t="shared" si="0"/>
        <v>10549</v>
      </c>
      <c r="K22" s="100">
        <f t="shared" si="0"/>
        <v>1387240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2850</v>
      </c>
      <c r="E23" s="116">
        <f>'３月'!K23</f>
        <v>1837123</v>
      </c>
      <c r="F23" s="112">
        <v>1635</v>
      </c>
      <c r="G23" s="111">
        <v>1986100</v>
      </c>
      <c r="H23" s="110">
        <v>1528</v>
      </c>
      <c r="I23" s="109">
        <v>1557469</v>
      </c>
      <c r="J23" s="108">
        <f t="shared" si="0"/>
        <v>2957</v>
      </c>
      <c r="K23" s="107">
        <f t="shared" si="0"/>
        <v>2265754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25792</v>
      </c>
      <c r="E24" s="116">
        <f>'３月'!K24</f>
        <v>3517766</v>
      </c>
      <c r="F24" s="105">
        <v>1237</v>
      </c>
      <c r="G24" s="104">
        <v>3215243</v>
      </c>
      <c r="H24" s="103">
        <v>1205</v>
      </c>
      <c r="I24" s="102">
        <v>3160569</v>
      </c>
      <c r="J24" s="101">
        <f t="shared" si="0"/>
        <v>25824</v>
      </c>
      <c r="K24" s="100">
        <f t="shared" si="0"/>
        <v>3572440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8517</v>
      </c>
      <c r="E25" s="116">
        <f>'３月'!K25</f>
        <v>5898023</v>
      </c>
      <c r="F25" s="105">
        <f>5845+18</f>
        <v>5863</v>
      </c>
      <c r="G25" s="104">
        <f>1443379+96003</f>
        <v>1539382</v>
      </c>
      <c r="H25" s="103">
        <v>5777</v>
      </c>
      <c r="I25" s="102">
        <v>1356550</v>
      </c>
      <c r="J25" s="101">
        <f t="shared" si="0"/>
        <v>8603</v>
      </c>
      <c r="K25" s="100">
        <f t="shared" si="0"/>
        <v>6080855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19138</v>
      </c>
      <c r="E26" s="116">
        <f>'３月'!K26</f>
        <v>6458412</v>
      </c>
      <c r="F26" s="105">
        <v>7079</v>
      </c>
      <c r="G26" s="104">
        <v>1368036</v>
      </c>
      <c r="H26" s="103">
        <v>6742</v>
      </c>
      <c r="I26" s="102">
        <v>1340673</v>
      </c>
      <c r="J26" s="101">
        <f t="shared" si="0"/>
        <v>19475</v>
      </c>
      <c r="K26" s="100">
        <f t="shared" si="0"/>
        <v>6485775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2068</v>
      </c>
      <c r="E27" s="116">
        <f>'３月'!K27</f>
        <v>326000</v>
      </c>
      <c r="F27" s="105">
        <v>228</v>
      </c>
      <c r="G27" s="104">
        <v>75150</v>
      </c>
      <c r="H27" s="103">
        <v>277</v>
      </c>
      <c r="I27" s="102">
        <v>88250</v>
      </c>
      <c r="J27" s="101">
        <f t="shared" si="0"/>
        <v>2019</v>
      </c>
      <c r="K27" s="100">
        <f t="shared" si="0"/>
        <v>312900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700</v>
      </c>
      <c r="E28" s="116">
        <f>'３月'!K28</f>
        <v>77000</v>
      </c>
      <c r="F28" s="105">
        <v>820</v>
      </c>
      <c r="G28" s="104">
        <v>90200</v>
      </c>
      <c r="H28" s="103">
        <v>930</v>
      </c>
      <c r="I28" s="102">
        <v>102300</v>
      </c>
      <c r="J28" s="101">
        <f t="shared" si="0"/>
        <v>590</v>
      </c>
      <c r="K28" s="100">
        <f t="shared" si="0"/>
        <v>64900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1070</v>
      </c>
      <c r="E29" s="116">
        <f>'３月'!K29</f>
        <v>320539</v>
      </c>
      <c r="F29" s="74">
        <f>20+74</f>
        <v>94</v>
      </c>
      <c r="G29" s="111">
        <f>4000+49330</f>
        <v>53330</v>
      </c>
      <c r="H29" s="110">
        <f>20+47</f>
        <v>67</v>
      </c>
      <c r="I29" s="109">
        <f>4000+42262</f>
        <v>46262</v>
      </c>
      <c r="J29" s="108">
        <f t="shared" si="0"/>
        <v>1097</v>
      </c>
      <c r="K29" s="107">
        <f t="shared" si="0"/>
        <v>327607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1413</v>
      </c>
      <c r="E30" s="116">
        <f>'３月'!K30</f>
        <v>860169</v>
      </c>
      <c r="F30" s="112">
        <f>331+235</f>
        <v>566</v>
      </c>
      <c r="G30" s="111">
        <f>180870+63103</f>
        <v>243973</v>
      </c>
      <c r="H30" s="110">
        <f>373+239</f>
        <v>612</v>
      </c>
      <c r="I30" s="109">
        <f>192990+70129</f>
        <v>263119</v>
      </c>
      <c r="J30" s="108">
        <f t="shared" si="0"/>
        <v>1367</v>
      </c>
      <c r="K30" s="107">
        <f t="shared" si="0"/>
        <v>841023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33</v>
      </c>
      <c r="E32" s="116">
        <f>'３月'!K32</f>
        <v>48629</v>
      </c>
      <c r="F32" s="112">
        <v>7</v>
      </c>
      <c r="G32" s="111">
        <v>9192</v>
      </c>
      <c r="H32" s="110">
        <v>1</v>
      </c>
      <c r="I32" s="109">
        <v>4239</v>
      </c>
      <c r="J32" s="108">
        <f t="shared" si="0"/>
        <v>39</v>
      </c>
      <c r="K32" s="107">
        <f t="shared" si="0"/>
        <v>53582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23522</v>
      </c>
      <c r="E33" s="116">
        <f>'３月'!K33</f>
        <v>7752088</v>
      </c>
      <c r="F33" s="112">
        <v>15176</v>
      </c>
      <c r="G33" s="111">
        <v>4578679</v>
      </c>
      <c r="H33" s="72">
        <v>15518</v>
      </c>
      <c r="I33" s="109">
        <v>4571181</v>
      </c>
      <c r="J33" s="108">
        <f t="shared" si="0"/>
        <v>23180</v>
      </c>
      <c r="K33" s="107">
        <f t="shared" si="0"/>
        <v>7759586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94271</v>
      </c>
      <c r="E34" s="116">
        <f>'３月'!K34</f>
        <v>6844668</v>
      </c>
      <c r="F34" s="112">
        <f>52761+275</f>
        <v>53036</v>
      </c>
      <c r="G34" s="111">
        <f>4966725+305800</f>
        <v>5272525</v>
      </c>
      <c r="H34" s="110">
        <f>50222+269</f>
        <v>50491</v>
      </c>
      <c r="I34" s="109">
        <f>4883501+316700</f>
        <v>5200201</v>
      </c>
      <c r="J34" s="108">
        <f t="shared" si="0"/>
        <v>96816</v>
      </c>
      <c r="K34" s="107">
        <f t="shared" si="0"/>
        <v>6916992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5779</v>
      </c>
      <c r="E35" s="116">
        <f>'３月'!K35</f>
        <v>3727273</v>
      </c>
      <c r="F35" s="112">
        <v>1040</v>
      </c>
      <c r="G35" s="111">
        <v>208992</v>
      </c>
      <c r="H35" s="110">
        <v>1513</v>
      </c>
      <c r="I35" s="109">
        <v>317592</v>
      </c>
      <c r="J35" s="108">
        <f t="shared" si="0"/>
        <v>5306</v>
      </c>
      <c r="K35" s="107">
        <f t="shared" si="0"/>
        <v>3618673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398</v>
      </c>
      <c r="E36" s="116">
        <f>'３月'!K36</f>
        <v>80400</v>
      </c>
      <c r="F36" s="112">
        <v>285</v>
      </c>
      <c r="G36" s="111">
        <v>57000</v>
      </c>
      <c r="H36" s="110">
        <v>321</v>
      </c>
      <c r="I36" s="109">
        <v>64240</v>
      </c>
      <c r="J36" s="108">
        <f t="shared" si="0"/>
        <v>362</v>
      </c>
      <c r="K36" s="107">
        <f t="shared" si="0"/>
        <v>73160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51</v>
      </c>
      <c r="E38" s="116">
        <f>'３月'!K38</f>
        <v>12160</v>
      </c>
      <c r="F38" s="112">
        <v>41</v>
      </c>
      <c r="G38" s="111">
        <v>9281</v>
      </c>
      <c r="H38" s="110">
        <v>1</v>
      </c>
      <c r="I38" s="109">
        <v>1</v>
      </c>
      <c r="J38" s="108">
        <f t="shared" si="0"/>
        <v>91</v>
      </c>
      <c r="K38" s="107">
        <f t="shared" si="0"/>
        <v>21440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1184</v>
      </c>
      <c r="E39" s="116">
        <f>'３月'!K39</f>
        <v>1302400</v>
      </c>
      <c r="F39" s="112">
        <v>100</v>
      </c>
      <c r="G39" s="111">
        <v>110000</v>
      </c>
      <c r="H39" s="110">
        <v>80</v>
      </c>
      <c r="I39" s="109">
        <v>88000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26891</v>
      </c>
      <c r="E42" s="116">
        <f>'３月'!K42</f>
        <v>2494737</v>
      </c>
      <c r="F42" s="112">
        <v>26063</v>
      </c>
      <c r="G42" s="111">
        <v>7487581</v>
      </c>
      <c r="H42" s="110">
        <v>3586</v>
      </c>
      <c r="I42" s="109">
        <v>1267712</v>
      </c>
      <c r="J42" s="108">
        <f t="shared" si="0"/>
        <v>49368</v>
      </c>
      <c r="K42" s="107">
        <f t="shared" si="0"/>
        <v>8714606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8011</v>
      </c>
      <c r="E43" s="116">
        <f>'３月'!K43</f>
        <v>10850852</v>
      </c>
      <c r="F43" s="112">
        <v>9837</v>
      </c>
      <c r="G43" s="111">
        <v>14296062</v>
      </c>
      <c r="H43" s="110">
        <v>10408</v>
      </c>
      <c r="I43" s="109">
        <v>13573567</v>
      </c>
      <c r="J43" s="108">
        <f t="shared" si="0"/>
        <v>7440</v>
      </c>
      <c r="K43" s="107">
        <f t="shared" si="0"/>
        <v>11573347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25</v>
      </c>
      <c r="E44" s="116">
        <f>'３月'!K44</f>
        <v>122640</v>
      </c>
      <c r="F44" s="112">
        <v>8</v>
      </c>
      <c r="G44" s="111">
        <v>12000</v>
      </c>
      <c r="H44" s="110">
        <v>5</v>
      </c>
      <c r="I44" s="109">
        <v>7500</v>
      </c>
      <c r="J44" s="108">
        <f t="shared" si="0"/>
        <v>28</v>
      </c>
      <c r="K44" s="107">
        <f t="shared" si="0"/>
        <v>127140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6477</v>
      </c>
      <c r="E45" s="116">
        <f>'３月'!K45</f>
        <v>3283399</v>
      </c>
      <c r="F45" s="112">
        <v>4414</v>
      </c>
      <c r="G45" s="111">
        <v>1788465</v>
      </c>
      <c r="H45" s="110">
        <v>5367</v>
      </c>
      <c r="I45" s="109">
        <v>2174464</v>
      </c>
      <c r="J45" s="108">
        <f t="shared" si="0"/>
        <v>5524</v>
      </c>
      <c r="K45" s="107">
        <f t="shared" si="0"/>
        <v>2897400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10788</v>
      </c>
      <c r="E46" s="116">
        <f>'３月'!K46</f>
        <v>2179814</v>
      </c>
      <c r="F46" s="105">
        <v>4381</v>
      </c>
      <c r="G46" s="104">
        <v>1049547</v>
      </c>
      <c r="H46" s="103">
        <v>4307</v>
      </c>
      <c r="I46" s="102">
        <v>853024</v>
      </c>
      <c r="J46" s="101">
        <f t="shared" si="0"/>
        <v>10862</v>
      </c>
      <c r="K46" s="100">
        <f t="shared" si="0"/>
        <v>2376337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2952</v>
      </c>
      <c r="E47" s="116">
        <f>'３月'!K47</f>
        <v>1813455</v>
      </c>
      <c r="F47" s="105">
        <v>919</v>
      </c>
      <c r="G47" s="104">
        <v>417280</v>
      </c>
      <c r="H47" s="103">
        <v>875</v>
      </c>
      <c r="I47" s="102">
        <v>387185</v>
      </c>
      <c r="J47" s="101">
        <f t="shared" si="0"/>
        <v>2996</v>
      </c>
      <c r="K47" s="100">
        <f t="shared" si="0"/>
        <v>1843550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7272</v>
      </c>
      <c r="E49" s="116">
        <f>'３月'!K49</f>
        <v>2343415</v>
      </c>
      <c r="F49" s="98">
        <v>8031</v>
      </c>
      <c r="G49" s="97">
        <v>1630259</v>
      </c>
      <c r="H49" s="96">
        <v>7281</v>
      </c>
      <c r="I49" s="95">
        <v>1574882</v>
      </c>
      <c r="J49" s="94">
        <f t="shared" si="0"/>
        <v>8022</v>
      </c>
      <c r="K49" s="93">
        <f t="shared" si="0"/>
        <v>2398792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293610</v>
      </c>
      <c r="E50" s="90">
        <f t="shared" si="1"/>
        <v>71811224</v>
      </c>
      <c r="F50" s="89">
        <f t="shared" si="1"/>
        <v>149232</v>
      </c>
      <c r="G50" s="87">
        <f t="shared" si="1"/>
        <v>46822546</v>
      </c>
      <c r="H50" s="89">
        <f t="shared" si="1"/>
        <v>127563</v>
      </c>
      <c r="I50" s="87">
        <f t="shared" si="1"/>
        <v>39510690</v>
      </c>
      <c r="J50" s="88">
        <f t="shared" si="0"/>
        <v>315279</v>
      </c>
      <c r="K50" s="87">
        <f t="shared" si="0"/>
        <v>79123080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30884</v>
      </c>
      <c r="E10" s="116">
        <f>'４月'!K10</f>
        <v>7981680</v>
      </c>
      <c r="F10" s="119">
        <v>7312</v>
      </c>
      <c r="G10" s="118">
        <v>1576192</v>
      </c>
      <c r="H10" s="117">
        <v>1902</v>
      </c>
      <c r="I10" s="116">
        <v>320975</v>
      </c>
      <c r="J10" s="115">
        <f aca="true" t="shared" si="0" ref="J10:K50">D10+F10-H10</f>
        <v>36294</v>
      </c>
      <c r="K10" s="114">
        <f t="shared" si="0"/>
        <v>9236897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0</v>
      </c>
      <c r="E11" s="116">
        <f>'４月'!K11</f>
        <v>216</v>
      </c>
      <c r="F11" s="105">
        <v>70</v>
      </c>
      <c r="G11" s="104">
        <v>3500</v>
      </c>
      <c r="H11" s="103">
        <v>0</v>
      </c>
      <c r="I11" s="102">
        <v>0</v>
      </c>
      <c r="J11" s="101">
        <f t="shared" si="0"/>
        <v>70</v>
      </c>
      <c r="K11" s="100">
        <f t="shared" si="0"/>
        <v>3716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0</v>
      </c>
      <c r="E12" s="116">
        <f>'４月'!K12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601</v>
      </c>
      <c r="E13" s="116">
        <f>'４月'!K13</f>
        <v>93146</v>
      </c>
      <c r="F13" s="105">
        <v>548</v>
      </c>
      <c r="G13" s="104">
        <v>75350</v>
      </c>
      <c r="H13" s="103">
        <v>180</v>
      </c>
      <c r="I13" s="102">
        <v>25918</v>
      </c>
      <c r="J13" s="101">
        <f t="shared" si="0"/>
        <v>969</v>
      </c>
      <c r="K13" s="100">
        <f t="shared" si="0"/>
        <v>142578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0</v>
      </c>
      <c r="E17" s="116">
        <f>'４月'!K17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64</v>
      </c>
      <c r="E18" s="116">
        <f>'４月'!K18</f>
        <v>10035</v>
      </c>
      <c r="F18" s="105">
        <v>48</v>
      </c>
      <c r="G18" s="104">
        <v>4560</v>
      </c>
      <c r="H18" s="103">
        <v>66</v>
      </c>
      <c r="I18" s="102">
        <v>7041</v>
      </c>
      <c r="J18" s="101">
        <f t="shared" si="0"/>
        <v>46</v>
      </c>
      <c r="K18" s="100">
        <f t="shared" si="0"/>
        <v>7554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11</v>
      </c>
      <c r="E20" s="116">
        <f>'４月'!K20</f>
        <v>504</v>
      </c>
      <c r="F20" s="105">
        <v>15</v>
      </c>
      <c r="G20" s="104">
        <v>726</v>
      </c>
      <c r="H20" s="103">
        <v>19</v>
      </c>
      <c r="I20" s="102">
        <v>918</v>
      </c>
      <c r="J20" s="101">
        <f t="shared" si="0"/>
        <v>7</v>
      </c>
      <c r="K20" s="100">
        <f t="shared" si="0"/>
        <v>312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10549</v>
      </c>
      <c r="E22" s="116">
        <f>'４月'!K22</f>
        <v>1387240</v>
      </c>
      <c r="F22" s="105">
        <v>1576</v>
      </c>
      <c r="G22" s="104">
        <v>229720</v>
      </c>
      <c r="H22" s="103">
        <v>3196</v>
      </c>
      <c r="I22" s="102">
        <v>417100</v>
      </c>
      <c r="J22" s="101">
        <f t="shared" si="0"/>
        <v>8929</v>
      </c>
      <c r="K22" s="100">
        <f t="shared" si="0"/>
        <v>1199860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2957</v>
      </c>
      <c r="E23" s="116">
        <f>'４月'!K23</f>
        <v>2265754</v>
      </c>
      <c r="F23" s="112">
        <v>1691</v>
      </c>
      <c r="G23" s="111">
        <v>1721850</v>
      </c>
      <c r="H23" s="110">
        <v>1578</v>
      </c>
      <c r="I23" s="109">
        <v>1581338</v>
      </c>
      <c r="J23" s="108">
        <f t="shared" si="0"/>
        <v>3070</v>
      </c>
      <c r="K23" s="107">
        <f t="shared" si="0"/>
        <v>2406266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25824</v>
      </c>
      <c r="E24" s="116">
        <f>'４月'!K24</f>
        <v>3572440</v>
      </c>
      <c r="F24" s="105">
        <v>1105</v>
      </c>
      <c r="G24" s="104">
        <v>1927035</v>
      </c>
      <c r="H24" s="103">
        <v>1066</v>
      </c>
      <c r="I24" s="102">
        <v>1829392</v>
      </c>
      <c r="J24" s="101">
        <f t="shared" si="0"/>
        <v>25863</v>
      </c>
      <c r="K24" s="100">
        <f t="shared" si="0"/>
        <v>3670083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8603</v>
      </c>
      <c r="E25" s="116">
        <f>'４月'!K25</f>
        <v>6080855</v>
      </c>
      <c r="F25" s="105">
        <f>5429+23</f>
        <v>5452</v>
      </c>
      <c r="G25" s="104">
        <f>1179486+44757</f>
        <v>1224243</v>
      </c>
      <c r="H25" s="103">
        <f>5365+1</f>
        <v>5366</v>
      </c>
      <c r="I25" s="102">
        <f>1414521+654</f>
        <v>1415175</v>
      </c>
      <c r="J25" s="101">
        <f t="shared" si="0"/>
        <v>8689</v>
      </c>
      <c r="K25" s="100">
        <f t="shared" si="0"/>
        <v>5889923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19475</v>
      </c>
      <c r="E26" s="116">
        <f>'４月'!K26</f>
        <v>6485775</v>
      </c>
      <c r="F26" s="105">
        <v>6080</v>
      </c>
      <c r="G26" s="104">
        <v>1112914</v>
      </c>
      <c r="H26" s="103">
        <v>6583</v>
      </c>
      <c r="I26" s="102">
        <v>1248391</v>
      </c>
      <c r="J26" s="101">
        <f t="shared" si="0"/>
        <v>18972</v>
      </c>
      <c r="K26" s="100">
        <f t="shared" si="0"/>
        <v>6350298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2019</v>
      </c>
      <c r="E27" s="116">
        <f>'４月'!K27</f>
        <v>312900</v>
      </c>
      <c r="F27" s="105">
        <v>228</v>
      </c>
      <c r="G27" s="104">
        <v>75900</v>
      </c>
      <c r="H27" s="103">
        <v>226</v>
      </c>
      <c r="I27" s="102">
        <v>63700</v>
      </c>
      <c r="J27" s="101">
        <f t="shared" si="0"/>
        <v>2021</v>
      </c>
      <c r="K27" s="100">
        <f t="shared" si="0"/>
        <v>325100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590</v>
      </c>
      <c r="E28" s="116">
        <f>'４月'!K28</f>
        <v>64900</v>
      </c>
      <c r="F28" s="105">
        <v>460</v>
      </c>
      <c r="G28" s="104">
        <v>50600</v>
      </c>
      <c r="H28" s="103">
        <v>390</v>
      </c>
      <c r="I28" s="102">
        <v>42900</v>
      </c>
      <c r="J28" s="101">
        <f t="shared" si="0"/>
        <v>660</v>
      </c>
      <c r="K28" s="100">
        <f t="shared" si="0"/>
        <v>72600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1097</v>
      </c>
      <c r="E29" s="116">
        <f>'４月'!K29</f>
        <v>327607</v>
      </c>
      <c r="F29" s="74">
        <f>20+39</f>
        <v>59</v>
      </c>
      <c r="G29" s="111">
        <f>4000+44530</f>
        <v>48530</v>
      </c>
      <c r="H29" s="110">
        <f>20+55</f>
        <v>75</v>
      </c>
      <c r="I29" s="109">
        <f>4000+53810</f>
        <v>57810</v>
      </c>
      <c r="J29" s="108">
        <f t="shared" si="0"/>
        <v>1081</v>
      </c>
      <c r="K29" s="107">
        <f t="shared" si="0"/>
        <v>318327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1367</v>
      </c>
      <c r="E30" s="116">
        <f>'４月'!K30</f>
        <v>841023</v>
      </c>
      <c r="F30" s="112">
        <f>437+701</f>
        <v>1138</v>
      </c>
      <c r="G30" s="111">
        <f>238770+75442</f>
        <v>314212</v>
      </c>
      <c r="H30" s="110">
        <f>308+429</f>
        <v>737</v>
      </c>
      <c r="I30" s="109">
        <f>202110+97750</f>
        <v>299860</v>
      </c>
      <c r="J30" s="108">
        <f t="shared" si="0"/>
        <v>1768</v>
      </c>
      <c r="K30" s="107">
        <f t="shared" si="0"/>
        <v>855375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39</v>
      </c>
      <c r="E32" s="116">
        <f>'４月'!K32</f>
        <v>53582</v>
      </c>
      <c r="F32" s="112">
        <v>11</v>
      </c>
      <c r="G32" s="111">
        <v>89039</v>
      </c>
      <c r="H32" s="110">
        <v>7</v>
      </c>
      <c r="I32" s="109">
        <v>85440</v>
      </c>
      <c r="J32" s="108">
        <f t="shared" si="0"/>
        <v>43</v>
      </c>
      <c r="K32" s="107">
        <f t="shared" si="0"/>
        <v>57181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23180</v>
      </c>
      <c r="E33" s="116">
        <f>'４月'!K33</f>
        <v>7759586</v>
      </c>
      <c r="F33" s="112">
        <v>14233</v>
      </c>
      <c r="G33" s="111">
        <v>4063500</v>
      </c>
      <c r="H33" s="72">
        <v>13655</v>
      </c>
      <c r="I33" s="109">
        <v>3997758</v>
      </c>
      <c r="J33" s="108">
        <f t="shared" si="0"/>
        <v>23758</v>
      </c>
      <c r="K33" s="107">
        <f t="shared" si="0"/>
        <v>7825328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96816</v>
      </c>
      <c r="E34" s="116">
        <f>'４月'!K34</f>
        <v>6916992</v>
      </c>
      <c r="F34" s="112">
        <f>49053+292</f>
        <v>49345</v>
      </c>
      <c r="G34" s="111">
        <f>4956047+300000</f>
        <v>5256047</v>
      </c>
      <c r="H34" s="110">
        <f>47389+304</f>
        <v>47693</v>
      </c>
      <c r="I34" s="109">
        <f>4800885+278200</f>
        <v>5079085</v>
      </c>
      <c r="J34" s="108">
        <f t="shared" si="0"/>
        <v>98468</v>
      </c>
      <c r="K34" s="107">
        <f t="shared" si="0"/>
        <v>7093954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5306</v>
      </c>
      <c r="E35" s="116">
        <f>'４月'!K35</f>
        <v>3618673</v>
      </c>
      <c r="F35" s="112">
        <v>1077</v>
      </c>
      <c r="G35" s="111">
        <v>165618</v>
      </c>
      <c r="H35" s="110">
        <v>1239</v>
      </c>
      <c r="I35" s="109">
        <v>224874</v>
      </c>
      <c r="J35" s="108">
        <f t="shared" si="0"/>
        <v>5144</v>
      </c>
      <c r="K35" s="107">
        <f t="shared" si="0"/>
        <v>3559417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362</v>
      </c>
      <c r="E36" s="116">
        <f>'４月'!K36</f>
        <v>73160</v>
      </c>
      <c r="F36" s="112">
        <v>140</v>
      </c>
      <c r="G36" s="111">
        <v>57000</v>
      </c>
      <c r="H36" s="110">
        <v>219</v>
      </c>
      <c r="I36" s="109">
        <v>72840</v>
      </c>
      <c r="J36" s="108">
        <f t="shared" si="0"/>
        <v>283</v>
      </c>
      <c r="K36" s="107">
        <f t="shared" si="0"/>
        <v>57320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91</v>
      </c>
      <c r="E38" s="116">
        <f>'４月'!K38</f>
        <v>21440</v>
      </c>
      <c r="F38" s="112">
        <v>3</v>
      </c>
      <c r="G38" s="111">
        <v>960</v>
      </c>
      <c r="H38" s="110">
        <v>3</v>
      </c>
      <c r="I38" s="109">
        <v>880</v>
      </c>
      <c r="J38" s="108">
        <f t="shared" si="0"/>
        <v>91</v>
      </c>
      <c r="K38" s="107">
        <f t="shared" si="0"/>
        <v>21520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1204</v>
      </c>
      <c r="E39" s="116">
        <f>'４月'!K39</f>
        <v>1324400</v>
      </c>
      <c r="F39" s="112">
        <v>200</v>
      </c>
      <c r="G39" s="111">
        <v>220000</v>
      </c>
      <c r="H39" s="110">
        <v>240</v>
      </c>
      <c r="I39" s="109">
        <v>264000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49368</v>
      </c>
      <c r="E42" s="116">
        <f>'４月'!K42</f>
        <v>8714606</v>
      </c>
      <c r="F42" s="112">
        <v>18856</v>
      </c>
      <c r="G42" s="111">
        <v>5690866</v>
      </c>
      <c r="H42" s="110">
        <v>17501</v>
      </c>
      <c r="I42" s="109">
        <v>5073250</v>
      </c>
      <c r="J42" s="108">
        <f t="shared" si="0"/>
        <v>50723</v>
      </c>
      <c r="K42" s="107">
        <f t="shared" si="0"/>
        <v>9332222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7440</v>
      </c>
      <c r="E43" s="116">
        <f>'４月'!K43</f>
        <v>11573347</v>
      </c>
      <c r="F43" s="112">
        <v>9361</v>
      </c>
      <c r="G43" s="111">
        <v>12400791</v>
      </c>
      <c r="H43" s="110">
        <v>9151</v>
      </c>
      <c r="I43" s="109">
        <v>10880050</v>
      </c>
      <c r="J43" s="108">
        <f t="shared" si="0"/>
        <v>7650</v>
      </c>
      <c r="K43" s="107">
        <f t="shared" si="0"/>
        <v>13094088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28</v>
      </c>
      <c r="E44" s="116">
        <f>'４月'!K44</f>
        <v>127140</v>
      </c>
      <c r="F44" s="112">
        <v>11</v>
      </c>
      <c r="G44" s="111">
        <v>15001</v>
      </c>
      <c r="H44" s="110">
        <v>6</v>
      </c>
      <c r="I44" s="109">
        <v>7591</v>
      </c>
      <c r="J44" s="108">
        <f t="shared" si="0"/>
        <v>33</v>
      </c>
      <c r="K44" s="107">
        <f t="shared" si="0"/>
        <v>134550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5524</v>
      </c>
      <c r="E45" s="116">
        <f>'４月'!K45</f>
        <v>2897400</v>
      </c>
      <c r="F45" s="112">
        <v>4486</v>
      </c>
      <c r="G45" s="137">
        <v>2001445</v>
      </c>
      <c r="H45" s="110">
        <v>4375</v>
      </c>
      <c r="I45" s="109">
        <v>2156453</v>
      </c>
      <c r="J45" s="108">
        <f t="shared" si="0"/>
        <v>5635</v>
      </c>
      <c r="K45" s="107">
        <f t="shared" si="0"/>
        <v>2742392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10862</v>
      </c>
      <c r="E46" s="116">
        <f>'４月'!K46</f>
        <v>2376337</v>
      </c>
      <c r="F46" s="105">
        <v>3161</v>
      </c>
      <c r="G46" s="104">
        <v>627557</v>
      </c>
      <c r="H46" s="103">
        <v>6664</v>
      </c>
      <c r="I46" s="102">
        <v>450126</v>
      </c>
      <c r="J46" s="101">
        <f t="shared" si="0"/>
        <v>7359</v>
      </c>
      <c r="K46" s="100">
        <f t="shared" si="0"/>
        <v>2553768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2996</v>
      </c>
      <c r="E47" s="116">
        <f>'４月'!K47</f>
        <v>1843550</v>
      </c>
      <c r="F47" s="105">
        <v>594</v>
      </c>
      <c r="G47" s="104">
        <v>325278</v>
      </c>
      <c r="H47" s="103">
        <v>600</v>
      </c>
      <c r="I47" s="102">
        <v>334759</v>
      </c>
      <c r="J47" s="101">
        <f t="shared" si="0"/>
        <v>2990</v>
      </c>
      <c r="K47" s="100">
        <f t="shared" si="0"/>
        <v>1834069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8022</v>
      </c>
      <c r="E49" s="116">
        <f>'４月'!K49</f>
        <v>2398792</v>
      </c>
      <c r="F49" s="98">
        <v>4542</v>
      </c>
      <c r="G49" s="97">
        <v>1343153</v>
      </c>
      <c r="H49" s="96">
        <v>5778</v>
      </c>
      <c r="I49" s="95">
        <v>1529930</v>
      </c>
      <c r="J49" s="94">
        <f t="shared" si="0"/>
        <v>6786</v>
      </c>
      <c r="K49" s="93">
        <f t="shared" si="0"/>
        <v>2212015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315279</v>
      </c>
      <c r="E50" s="90">
        <f t="shared" si="1"/>
        <v>79123080</v>
      </c>
      <c r="F50" s="89">
        <f t="shared" si="1"/>
        <v>131802</v>
      </c>
      <c r="G50" s="87">
        <f t="shared" si="1"/>
        <v>40621587</v>
      </c>
      <c r="H50" s="89">
        <f t="shared" si="1"/>
        <v>128515</v>
      </c>
      <c r="I50" s="87">
        <f t="shared" si="1"/>
        <v>37467554</v>
      </c>
      <c r="J50" s="88">
        <f t="shared" si="0"/>
        <v>318566</v>
      </c>
      <c r="K50" s="87">
        <f t="shared" si="0"/>
        <v>82277113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3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E50" sqref="E50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36294</v>
      </c>
      <c r="E10" s="116">
        <f>'５月'!K10</f>
        <v>9236897</v>
      </c>
      <c r="F10" s="119">
        <v>3559</v>
      </c>
      <c r="G10" s="118">
        <v>587969</v>
      </c>
      <c r="H10" s="117">
        <v>2750</v>
      </c>
      <c r="I10" s="116">
        <v>384543</v>
      </c>
      <c r="J10" s="115">
        <f aca="true" t="shared" si="0" ref="J10:K50">D10+F10-H10</f>
        <v>37103</v>
      </c>
      <c r="K10" s="114">
        <f t="shared" si="0"/>
        <v>9440323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70</v>
      </c>
      <c r="E11" s="116">
        <f>'５月'!K11</f>
        <v>3716</v>
      </c>
      <c r="F11" s="105">
        <v>0</v>
      </c>
      <c r="G11" s="104">
        <v>0</v>
      </c>
      <c r="H11" s="103">
        <v>31</v>
      </c>
      <c r="I11" s="102">
        <v>1550</v>
      </c>
      <c r="J11" s="101">
        <f t="shared" si="0"/>
        <v>39</v>
      </c>
      <c r="K11" s="100">
        <f t="shared" si="0"/>
        <v>2166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0</v>
      </c>
      <c r="E12" s="116">
        <f>'５月'!K12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969</v>
      </c>
      <c r="E13" s="116">
        <f>'５月'!K13</f>
        <v>142578</v>
      </c>
      <c r="F13" s="105">
        <v>374</v>
      </c>
      <c r="G13" s="104">
        <v>44738</v>
      </c>
      <c r="H13" s="103">
        <v>183</v>
      </c>
      <c r="I13" s="102">
        <v>28646</v>
      </c>
      <c r="J13" s="101">
        <f t="shared" si="0"/>
        <v>1160</v>
      </c>
      <c r="K13" s="100">
        <f t="shared" si="0"/>
        <v>158670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0</v>
      </c>
      <c r="E17" s="116">
        <f>'５月'!K17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46</v>
      </c>
      <c r="E18" s="116">
        <f>'５月'!K18</f>
        <v>7554</v>
      </c>
      <c r="F18" s="105">
        <v>72</v>
      </c>
      <c r="G18" s="104">
        <v>6840</v>
      </c>
      <c r="H18" s="103">
        <v>73</v>
      </c>
      <c r="I18" s="102">
        <v>7490</v>
      </c>
      <c r="J18" s="101">
        <f t="shared" si="0"/>
        <v>45</v>
      </c>
      <c r="K18" s="100">
        <f t="shared" si="0"/>
        <v>6904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7</v>
      </c>
      <c r="E20" s="116">
        <f>'５月'!K20</f>
        <v>312</v>
      </c>
      <c r="F20" s="105">
        <v>829</v>
      </c>
      <c r="G20" s="104">
        <v>40095</v>
      </c>
      <c r="H20" s="103">
        <v>597</v>
      </c>
      <c r="I20" s="102">
        <v>28884</v>
      </c>
      <c r="J20" s="101">
        <f t="shared" si="0"/>
        <v>239</v>
      </c>
      <c r="K20" s="100">
        <f t="shared" si="0"/>
        <v>11523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8929</v>
      </c>
      <c r="E22" s="116">
        <f>'５月'!K22</f>
        <v>1199860</v>
      </c>
      <c r="F22" s="105">
        <v>1997</v>
      </c>
      <c r="G22" s="104">
        <v>290060</v>
      </c>
      <c r="H22" s="103">
        <v>3075</v>
      </c>
      <c r="I22" s="102">
        <v>401820</v>
      </c>
      <c r="J22" s="101">
        <f t="shared" si="0"/>
        <v>7851</v>
      </c>
      <c r="K22" s="100">
        <f t="shared" si="0"/>
        <v>1088100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3070</v>
      </c>
      <c r="E23" s="116">
        <f>'５月'!K23</f>
        <v>2406266</v>
      </c>
      <c r="F23" s="112">
        <v>1352</v>
      </c>
      <c r="G23" s="111">
        <v>1702600</v>
      </c>
      <c r="H23" s="110">
        <v>1371</v>
      </c>
      <c r="I23" s="109">
        <v>1677654</v>
      </c>
      <c r="J23" s="108">
        <f t="shared" si="0"/>
        <v>3051</v>
      </c>
      <c r="K23" s="107">
        <f t="shared" si="0"/>
        <v>2431212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25863</v>
      </c>
      <c r="E24" s="116">
        <f>'５月'!K24</f>
        <v>3670083</v>
      </c>
      <c r="F24" s="105">
        <v>1208</v>
      </c>
      <c r="G24" s="104">
        <v>829866</v>
      </c>
      <c r="H24" s="103">
        <v>1414</v>
      </c>
      <c r="I24" s="102">
        <v>1352747</v>
      </c>
      <c r="J24" s="101">
        <f t="shared" si="0"/>
        <v>25657</v>
      </c>
      <c r="K24" s="100">
        <f t="shared" si="0"/>
        <v>3147202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8689</v>
      </c>
      <c r="E25" s="116">
        <f>'５月'!K25</f>
        <v>5889923</v>
      </c>
      <c r="F25" s="105">
        <v>6179</v>
      </c>
      <c r="G25" s="104">
        <v>1409247</v>
      </c>
      <c r="H25" s="103">
        <v>4241</v>
      </c>
      <c r="I25" s="102">
        <v>1041657</v>
      </c>
      <c r="J25" s="101">
        <f t="shared" si="0"/>
        <v>10627</v>
      </c>
      <c r="K25" s="100">
        <f t="shared" si="0"/>
        <v>6257513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18972</v>
      </c>
      <c r="E26" s="116">
        <f>'５月'!K26</f>
        <v>6350298</v>
      </c>
      <c r="F26" s="105">
        <v>11762</v>
      </c>
      <c r="G26" s="104">
        <v>1691959</v>
      </c>
      <c r="H26" s="103">
        <v>8706</v>
      </c>
      <c r="I26" s="102">
        <v>1464857</v>
      </c>
      <c r="J26" s="101">
        <f t="shared" si="0"/>
        <v>22028</v>
      </c>
      <c r="K26" s="100">
        <f t="shared" si="0"/>
        <v>6577400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2021</v>
      </c>
      <c r="E27" s="116">
        <f>'５月'!K27</f>
        <v>325100</v>
      </c>
      <c r="F27" s="105">
        <v>327</v>
      </c>
      <c r="G27" s="104">
        <v>84700</v>
      </c>
      <c r="H27" s="103">
        <v>272</v>
      </c>
      <c r="I27" s="102">
        <v>72750</v>
      </c>
      <c r="J27" s="101">
        <f t="shared" si="0"/>
        <v>2076</v>
      </c>
      <c r="K27" s="100">
        <f t="shared" si="0"/>
        <v>337050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660</v>
      </c>
      <c r="E28" s="116">
        <f>'５月'!K28</f>
        <v>72600</v>
      </c>
      <c r="F28" s="105">
        <v>900</v>
      </c>
      <c r="G28" s="104">
        <v>99000</v>
      </c>
      <c r="H28" s="103">
        <v>810</v>
      </c>
      <c r="I28" s="102">
        <v>89100</v>
      </c>
      <c r="J28" s="101">
        <f t="shared" si="0"/>
        <v>750</v>
      </c>
      <c r="K28" s="100">
        <f t="shared" si="0"/>
        <v>82500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1081</v>
      </c>
      <c r="E29" s="116">
        <f>'５月'!K29</f>
        <v>318327</v>
      </c>
      <c r="F29" s="74">
        <f>20+56</f>
        <v>76</v>
      </c>
      <c r="G29" s="111">
        <f>4000+46930</f>
        <v>50930</v>
      </c>
      <c r="H29" s="110">
        <f>20+64</f>
        <v>84</v>
      </c>
      <c r="I29" s="109">
        <f>4000+50360</f>
        <v>54360</v>
      </c>
      <c r="J29" s="108">
        <f t="shared" si="0"/>
        <v>1073</v>
      </c>
      <c r="K29" s="107">
        <f t="shared" si="0"/>
        <v>314897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1768</v>
      </c>
      <c r="E30" s="116">
        <f>'５月'!K30</f>
        <v>855375</v>
      </c>
      <c r="F30" s="112">
        <f>299+861</f>
        <v>1160</v>
      </c>
      <c r="G30" s="111">
        <f>153930+65205</f>
        <v>219135</v>
      </c>
      <c r="H30" s="110">
        <f>303+717</f>
        <v>1020</v>
      </c>
      <c r="I30" s="109">
        <f>173310+68536</f>
        <v>241846</v>
      </c>
      <c r="J30" s="108">
        <f t="shared" si="0"/>
        <v>1908</v>
      </c>
      <c r="K30" s="107">
        <f t="shared" si="0"/>
        <v>832664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43</v>
      </c>
      <c r="E32" s="116">
        <f>'５月'!K32</f>
        <v>57181</v>
      </c>
      <c r="F32" s="112">
        <v>19</v>
      </c>
      <c r="G32" s="111">
        <v>29569</v>
      </c>
      <c r="H32" s="110">
        <v>29</v>
      </c>
      <c r="I32" s="109">
        <v>38331</v>
      </c>
      <c r="J32" s="108">
        <f t="shared" si="0"/>
        <v>33</v>
      </c>
      <c r="K32" s="107">
        <f t="shared" si="0"/>
        <v>48419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23758</v>
      </c>
      <c r="E33" s="116">
        <f>'５月'!K33</f>
        <v>7825328</v>
      </c>
      <c r="F33" s="112">
        <v>15021</v>
      </c>
      <c r="G33" s="111">
        <v>4210299</v>
      </c>
      <c r="H33" s="72">
        <v>16263</v>
      </c>
      <c r="I33" s="109">
        <v>4971238</v>
      </c>
      <c r="J33" s="108">
        <f t="shared" si="0"/>
        <v>22516</v>
      </c>
      <c r="K33" s="107">
        <f t="shared" si="0"/>
        <v>7064389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98468</v>
      </c>
      <c r="E34" s="116">
        <f>'５月'!K34</f>
        <v>7093954</v>
      </c>
      <c r="F34" s="112">
        <f>43951+274</f>
        <v>44225</v>
      </c>
      <c r="G34" s="111">
        <f>5889542+302800</f>
        <v>6192342</v>
      </c>
      <c r="H34" s="110">
        <f>40212+312</f>
        <v>40524</v>
      </c>
      <c r="I34" s="109">
        <f>5476142+303200</f>
        <v>5779342</v>
      </c>
      <c r="J34" s="108">
        <f t="shared" si="0"/>
        <v>102169</v>
      </c>
      <c r="K34" s="107">
        <f t="shared" si="0"/>
        <v>7506954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5144</v>
      </c>
      <c r="E35" s="116">
        <f>'５月'!K35</f>
        <v>3559417</v>
      </c>
      <c r="F35" s="112">
        <v>1087</v>
      </c>
      <c r="G35" s="111">
        <v>238579</v>
      </c>
      <c r="H35" s="110">
        <v>896</v>
      </c>
      <c r="I35" s="109">
        <v>151643</v>
      </c>
      <c r="J35" s="108">
        <f t="shared" si="0"/>
        <v>5335</v>
      </c>
      <c r="K35" s="107">
        <f t="shared" si="0"/>
        <v>3646353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283</v>
      </c>
      <c r="E36" s="116">
        <f>'５月'!K36</f>
        <v>57320</v>
      </c>
      <c r="F36" s="112">
        <v>320</v>
      </c>
      <c r="G36" s="111">
        <v>64000</v>
      </c>
      <c r="H36" s="110">
        <v>328</v>
      </c>
      <c r="I36" s="109">
        <v>65600</v>
      </c>
      <c r="J36" s="108">
        <f t="shared" si="0"/>
        <v>275</v>
      </c>
      <c r="K36" s="107">
        <f t="shared" si="0"/>
        <v>55720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91</v>
      </c>
      <c r="E38" s="116">
        <f>'５月'!K38</f>
        <v>21520</v>
      </c>
      <c r="F38" s="112">
        <v>2</v>
      </c>
      <c r="G38" s="111">
        <v>961</v>
      </c>
      <c r="H38" s="110">
        <v>1</v>
      </c>
      <c r="I38" s="109">
        <v>1</v>
      </c>
      <c r="J38" s="108">
        <f t="shared" si="0"/>
        <v>92</v>
      </c>
      <c r="K38" s="107">
        <f t="shared" si="0"/>
        <v>22480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1164</v>
      </c>
      <c r="E39" s="116">
        <f>'５月'!K39</f>
        <v>1280400</v>
      </c>
      <c r="F39" s="112">
        <v>240</v>
      </c>
      <c r="G39" s="111">
        <v>264000</v>
      </c>
      <c r="H39" s="110">
        <v>180</v>
      </c>
      <c r="I39" s="109">
        <v>198000</v>
      </c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50723</v>
      </c>
      <c r="E42" s="116">
        <f>'５月'!K42</f>
        <v>9332222</v>
      </c>
      <c r="F42" s="112">
        <v>25005</v>
      </c>
      <c r="G42" s="111">
        <v>7451081</v>
      </c>
      <c r="H42" s="110">
        <v>24859</v>
      </c>
      <c r="I42" s="109">
        <v>7500775</v>
      </c>
      <c r="J42" s="108">
        <f t="shared" si="0"/>
        <v>50869</v>
      </c>
      <c r="K42" s="107">
        <f t="shared" si="0"/>
        <v>9282528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7650</v>
      </c>
      <c r="E43" s="116">
        <f>'５月'!K43</f>
        <v>13094088</v>
      </c>
      <c r="F43" s="112">
        <v>11947</v>
      </c>
      <c r="G43" s="111">
        <v>13374089</v>
      </c>
      <c r="H43" s="110">
        <v>10703</v>
      </c>
      <c r="I43" s="109">
        <v>13775491</v>
      </c>
      <c r="J43" s="108">
        <f t="shared" si="0"/>
        <v>8894</v>
      </c>
      <c r="K43" s="107">
        <f t="shared" si="0"/>
        <v>12692686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33</v>
      </c>
      <c r="E44" s="116">
        <f>'５月'!K44</f>
        <v>134550</v>
      </c>
      <c r="F44" s="112">
        <v>16</v>
      </c>
      <c r="G44" s="111">
        <v>22501</v>
      </c>
      <c r="H44" s="110">
        <v>13</v>
      </c>
      <c r="I44" s="109">
        <v>18271</v>
      </c>
      <c r="J44" s="108">
        <f t="shared" si="0"/>
        <v>36</v>
      </c>
      <c r="K44" s="107">
        <f t="shared" si="0"/>
        <v>138780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5635</v>
      </c>
      <c r="E45" s="116">
        <f>'５月'!K45</f>
        <v>2742392</v>
      </c>
      <c r="F45" s="112">
        <v>1491</v>
      </c>
      <c r="G45" s="111">
        <v>342797</v>
      </c>
      <c r="H45" s="110">
        <v>1596</v>
      </c>
      <c r="I45" s="109">
        <v>375122</v>
      </c>
      <c r="J45" s="108">
        <f t="shared" si="0"/>
        <v>5530</v>
      </c>
      <c r="K45" s="107">
        <f t="shared" si="0"/>
        <v>2710067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7359</v>
      </c>
      <c r="E46" s="116">
        <f>'５月'!K46</f>
        <v>2553768</v>
      </c>
      <c r="F46" s="105">
        <v>3883</v>
      </c>
      <c r="G46" s="104">
        <v>783359</v>
      </c>
      <c r="H46" s="103">
        <v>3004</v>
      </c>
      <c r="I46" s="102">
        <v>527201</v>
      </c>
      <c r="J46" s="101">
        <f t="shared" si="0"/>
        <v>8238</v>
      </c>
      <c r="K46" s="100">
        <f t="shared" si="0"/>
        <v>2809926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2990</v>
      </c>
      <c r="E47" s="116">
        <f>'５月'!K47</f>
        <v>1834069</v>
      </c>
      <c r="F47" s="105">
        <v>1058</v>
      </c>
      <c r="G47" s="104">
        <v>387341</v>
      </c>
      <c r="H47" s="103">
        <v>1049</v>
      </c>
      <c r="I47" s="102">
        <v>314222</v>
      </c>
      <c r="J47" s="101">
        <f t="shared" si="0"/>
        <v>2999</v>
      </c>
      <c r="K47" s="100">
        <f t="shared" si="0"/>
        <v>1907188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6786</v>
      </c>
      <c r="E49" s="116">
        <f>'５月'!K49</f>
        <v>2212015</v>
      </c>
      <c r="F49" s="98">
        <v>6208</v>
      </c>
      <c r="G49" s="97">
        <v>1719155</v>
      </c>
      <c r="H49" s="96">
        <v>5333</v>
      </c>
      <c r="I49" s="95">
        <v>1625064</v>
      </c>
      <c r="J49" s="94">
        <f t="shared" si="0"/>
        <v>7661</v>
      </c>
      <c r="K49" s="93">
        <f t="shared" si="0"/>
        <v>2306106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318566</v>
      </c>
      <c r="E50" s="90">
        <f t="shared" si="1"/>
        <v>82277113</v>
      </c>
      <c r="F50" s="89">
        <f t="shared" si="1"/>
        <v>140317</v>
      </c>
      <c r="G50" s="87">
        <f t="shared" si="1"/>
        <v>42137212</v>
      </c>
      <c r="H50" s="89">
        <f t="shared" si="1"/>
        <v>129405</v>
      </c>
      <c r="I50" s="87">
        <f t="shared" si="1"/>
        <v>42188205</v>
      </c>
      <c r="J50" s="88">
        <f t="shared" si="0"/>
        <v>329478</v>
      </c>
      <c r="K50" s="87">
        <f t="shared" si="0"/>
        <v>82226120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23" sqref="J23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37103</v>
      </c>
      <c r="E10" s="116">
        <f>'６月'!K10</f>
        <v>9440323</v>
      </c>
      <c r="F10" s="119">
        <v>1641</v>
      </c>
      <c r="G10" s="118">
        <v>239707</v>
      </c>
      <c r="H10" s="117">
        <v>2307</v>
      </c>
      <c r="I10" s="116">
        <v>362531</v>
      </c>
      <c r="J10" s="115">
        <f aca="true" t="shared" si="0" ref="J10:K50">D10+F10-H10</f>
        <v>36437</v>
      </c>
      <c r="K10" s="114">
        <f t="shared" si="0"/>
        <v>9317499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39</v>
      </c>
      <c r="E11" s="116">
        <f>'６月'!K11</f>
        <v>2166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39</v>
      </c>
      <c r="K11" s="100">
        <f t="shared" si="0"/>
        <v>2166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0</v>
      </c>
      <c r="E12" s="116">
        <f>'６月'!K12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1160</v>
      </c>
      <c r="E13" s="116">
        <f>'６月'!K13</f>
        <v>158670</v>
      </c>
      <c r="F13" s="105">
        <v>135</v>
      </c>
      <c r="G13" s="104">
        <v>22350</v>
      </c>
      <c r="H13" s="103">
        <v>193</v>
      </c>
      <c r="I13" s="102">
        <v>30250</v>
      </c>
      <c r="J13" s="101">
        <f t="shared" si="0"/>
        <v>1102</v>
      </c>
      <c r="K13" s="100">
        <f t="shared" si="0"/>
        <v>150770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0</v>
      </c>
      <c r="E17" s="116">
        <f>'６月'!K17</f>
        <v>0</v>
      </c>
      <c r="F17" s="105">
        <v>0</v>
      </c>
      <c r="G17" s="104">
        <v>0</v>
      </c>
      <c r="H17" s="103">
        <v>0</v>
      </c>
      <c r="I17" s="102">
        <v>0</v>
      </c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45</v>
      </c>
      <c r="E18" s="116">
        <f>'６月'!K18</f>
        <v>6904</v>
      </c>
      <c r="F18" s="105">
        <v>72</v>
      </c>
      <c r="G18" s="104">
        <v>6840</v>
      </c>
      <c r="H18" s="103">
        <v>73</v>
      </c>
      <c r="I18" s="102">
        <v>7610</v>
      </c>
      <c r="J18" s="101">
        <f t="shared" si="0"/>
        <v>44</v>
      </c>
      <c r="K18" s="100">
        <f t="shared" si="0"/>
        <v>6134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239</v>
      </c>
      <c r="E20" s="116">
        <f>'６月'!K20</f>
        <v>11523</v>
      </c>
      <c r="F20" s="105">
        <v>396</v>
      </c>
      <c r="G20" s="104">
        <v>19140</v>
      </c>
      <c r="H20" s="103">
        <v>634</v>
      </c>
      <c r="I20" s="102">
        <v>30660</v>
      </c>
      <c r="J20" s="101">
        <f t="shared" si="0"/>
        <v>1</v>
      </c>
      <c r="K20" s="100">
        <f t="shared" si="0"/>
        <v>3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7851</v>
      </c>
      <c r="E22" s="116">
        <f>'６月'!K22</f>
        <v>1088100</v>
      </c>
      <c r="F22" s="105">
        <v>1668</v>
      </c>
      <c r="G22" s="104">
        <v>218260</v>
      </c>
      <c r="H22" s="103">
        <v>2118</v>
      </c>
      <c r="I22" s="102">
        <v>301240</v>
      </c>
      <c r="J22" s="101">
        <f t="shared" si="0"/>
        <v>7401</v>
      </c>
      <c r="K22" s="100">
        <f t="shared" si="0"/>
        <v>1005120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3051</v>
      </c>
      <c r="E23" s="116">
        <f>'６月'!K23</f>
        <v>2431212</v>
      </c>
      <c r="F23" s="112">
        <f>1153-7</f>
        <v>1146</v>
      </c>
      <c r="G23" s="111">
        <f>1859900-1300</f>
        <v>1858600</v>
      </c>
      <c r="H23" s="110">
        <f>1233-7</f>
        <v>1226</v>
      </c>
      <c r="I23" s="109">
        <f>1564836-1300</f>
        <v>1563536</v>
      </c>
      <c r="J23" s="108">
        <f t="shared" si="0"/>
        <v>2971</v>
      </c>
      <c r="K23" s="107">
        <f t="shared" si="0"/>
        <v>2726276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25657</v>
      </c>
      <c r="E24" s="116">
        <f>'６月'!K24</f>
        <v>3147202</v>
      </c>
      <c r="F24" s="105">
        <v>1134</v>
      </c>
      <c r="G24" s="104">
        <v>659113</v>
      </c>
      <c r="H24" s="103">
        <v>1167</v>
      </c>
      <c r="I24" s="102">
        <v>667909</v>
      </c>
      <c r="J24" s="101">
        <f t="shared" si="0"/>
        <v>25624</v>
      </c>
      <c r="K24" s="100">
        <f t="shared" si="0"/>
        <v>3138406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10627</v>
      </c>
      <c r="E25" s="116">
        <f>'６月'!K25</f>
        <v>6257513</v>
      </c>
      <c r="F25" s="105">
        <v>5307</v>
      </c>
      <c r="G25" s="104">
        <v>1227666</v>
      </c>
      <c r="H25" s="103">
        <v>6496</v>
      </c>
      <c r="I25" s="102">
        <v>2086696</v>
      </c>
      <c r="J25" s="101">
        <f t="shared" si="0"/>
        <v>9438</v>
      </c>
      <c r="K25" s="100">
        <f t="shared" si="0"/>
        <v>5398483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22028</v>
      </c>
      <c r="E26" s="116">
        <f>'６月'!K26</f>
        <v>6577400</v>
      </c>
      <c r="F26" s="105">
        <v>6921</v>
      </c>
      <c r="G26" s="104">
        <v>1477341</v>
      </c>
      <c r="H26" s="103">
        <v>9322</v>
      </c>
      <c r="I26" s="102">
        <v>2995479</v>
      </c>
      <c r="J26" s="101">
        <f t="shared" si="0"/>
        <v>19627</v>
      </c>
      <c r="K26" s="100">
        <f t="shared" si="0"/>
        <v>5059262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2076</v>
      </c>
      <c r="E27" s="116">
        <f>'６月'!K27</f>
        <v>337050</v>
      </c>
      <c r="F27" s="105">
        <v>140</v>
      </c>
      <c r="G27" s="104">
        <v>53300</v>
      </c>
      <c r="H27" s="103">
        <v>132</v>
      </c>
      <c r="I27" s="102">
        <v>57350</v>
      </c>
      <c r="J27" s="101">
        <f t="shared" si="0"/>
        <v>2084</v>
      </c>
      <c r="K27" s="100">
        <f t="shared" si="0"/>
        <v>333000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750</v>
      </c>
      <c r="E28" s="116">
        <f>'６月'!K28</f>
        <v>82500</v>
      </c>
      <c r="F28" s="105">
        <v>730</v>
      </c>
      <c r="G28" s="104">
        <v>80300</v>
      </c>
      <c r="H28" s="103">
        <v>830</v>
      </c>
      <c r="I28" s="102">
        <v>91300</v>
      </c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1073</v>
      </c>
      <c r="E29" s="116">
        <f>'６月'!K29</f>
        <v>314897</v>
      </c>
      <c r="F29" s="74">
        <f>20+24</f>
        <v>44</v>
      </c>
      <c r="G29" s="111">
        <f>4000+45960</f>
        <v>49960</v>
      </c>
      <c r="H29" s="110">
        <f>20+40</f>
        <v>60</v>
      </c>
      <c r="I29" s="109">
        <f>4000+46446</f>
        <v>50446</v>
      </c>
      <c r="J29" s="108">
        <f t="shared" si="0"/>
        <v>1057</v>
      </c>
      <c r="K29" s="107">
        <f t="shared" si="0"/>
        <v>314411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1908</v>
      </c>
      <c r="E30" s="116">
        <f>'６月'!K30</f>
        <v>832664</v>
      </c>
      <c r="F30" s="112">
        <f>324+602</f>
        <v>926</v>
      </c>
      <c r="G30" s="111">
        <f>233880+60952</f>
        <v>294832</v>
      </c>
      <c r="H30" s="110">
        <f>328+718</f>
        <v>1046</v>
      </c>
      <c r="I30" s="109">
        <f>253260+67771</f>
        <v>321031</v>
      </c>
      <c r="J30" s="108">
        <f t="shared" si="0"/>
        <v>1788</v>
      </c>
      <c r="K30" s="107">
        <f t="shared" si="0"/>
        <v>806465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33</v>
      </c>
      <c r="E32" s="116">
        <f>'６月'!K32</f>
        <v>48419</v>
      </c>
      <c r="F32" s="112">
        <v>0</v>
      </c>
      <c r="G32" s="111">
        <v>24000</v>
      </c>
      <c r="H32" s="110">
        <v>10</v>
      </c>
      <c r="I32" s="109">
        <v>47032</v>
      </c>
      <c r="J32" s="108">
        <f t="shared" si="0"/>
        <v>23</v>
      </c>
      <c r="K32" s="107">
        <f t="shared" si="0"/>
        <v>25387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22516</v>
      </c>
      <c r="E33" s="116">
        <f>'６月'!K33</f>
        <v>7064389</v>
      </c>
      <c r="F33" s="112">
        <v>15980</v>
      </c>
      <c r="G33" s="111">
        <v>4779617</v>
      </c>
      <c r="H33" s="72">
        <v>15998</v>
      </c>
      <c r="I33" s="109">
        <v>4697414</v>
      </c>
      <c r="J33" s="108">
        <f t="shared" si="0"/>
        <v>22498</v>
      </c>
      <c r="K33" s="107">
        <f t="shared" si="0"/>
        <v>7146592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102169</v>
      </c>
      <c r="E34" s="116">
        <f>'６月'!K34</f>
        <v>7506954</v>
      </c>
      <c r="F34" s="112">
        <f>41715+338</f>
        <v>42053</v>
      </c>
      <c r="G34" s="111">
        <f>5765603+296000</f>
        <v>6061603</v>
      </c>
      <c r="H34" s="110">
        <f>38103+290</f>
        <v>38393</v>
      </c>
      <c r="I34" s="109">
        <f>5412169+294000</f>
        <v>5706169</v>
      </c>
      <c r="J34" s="108">
        <f t="shared" si="0"/>
        <v>105829</v>
      </c>
      <c r="K34" s="107">
        <f t="shared" si="0"/>
        <v>7862388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5335</v>
      </c>
      <c r="E35" s="116">
        <f>'６月'!K35</f>
        <v>3646353</v>
      </c>
      <c r="F35" s="112">
        <v>928</v>
      </c>
      <c r="G35" s="111">
        <v>176374</v>
      </c>
      <c r="H35" s="110">
        <v>935</v>
      </c>
      <c r="I35" s="109">
        <v>166218</v>
      </c>
      <c r="J35" s="108">
        <f t="shared" si="0"/>
        <v>5328</v>
      </c>
      <c r="K35" s="107">
        <f t="shared" si="0"/>
        <v>3656509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275</v>
      </c>
      <c r="E36" s="116">
        <f>'６月'!K36</f>
        <v>55720</v>
      </c>
      <c r="F36" s="112">
        <v>365</v>
      </c>
      <c r="G36" s="111">
        <v>72960</v>
      </c>
      <c r="H36" s="110">
        <v>358</v>
      </c>
      <c r="I36" s="109">
        <v>71840</v>
      </c>
      <c r="J36" s="108">
        <f t="shared" si="0"/>
        <v>282</v>
      </c>
      <c r="K36" s="107">
        <f t="shared" si="0"/>
        <v>56840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92</v>
      </c>
      <c r="E38" s="116">
        <f>'６月'!K38</f>
        <v>22480</v>
      </c>
      <c r="F38" s="112">
        <v>552</v>
      </c>
      <c r="G38" s="111">
        <v>110960</v>
      </c>
      <c r="H38" s="110">
        <v>53</v>
      </c>
      <c r="I38" s="109">
        <v>10960</v>
      </c>
      <c r="J38" s="108">
        <f t="shared" si="0"/>
        <v>591</v>
      </c>
      <c r="K38" s="107">
        <f t="shared" si="0"/>
        <v>122480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1224</v>
      </c>
      <c r="E39" s="116">
        <f>'６月'!K39</f>
        <v>1346400</v>
      </c>
      <c r="F39" s="112">
        <v>100</v>
      </c>
      <c r="G39" s="111">
        <v>110000</v>
      </c>
      <c r="H39" s="110">
        <v>120</v>
      </c>
      <c r="I39" s="109">
        <v>132000</v>
      </c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50869</v>
      </c>
      <c r="E42" s="116">
        <f>'６月'!K42</f>
        <v>9282528</v>
      </c>
      <c r="F42" s="112">
        <v>24399</v>
      </c>
      <c r="G42" s="111">
        <v>7421543</v>
      </c>
      <c r="H42" s="110">
        <v>23798</v>
      </c>
      <c r="I42" s="109">
        <v>7240315</v>
      </c>
      <c r="J42" s="108">
        <f t="shared" si="0"/>
        <v>51470</v>
      </c>
      <c r="K42" s="107">
        <f t="shared" si="0"/>
        <v>9463756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8894</v>
      </c>
      <c r="E43" s="116">
        <f>'６月'!K43</f>
        <v>12692686</v>
      </c>
      <c r="F43" s="112">
        <v>11319</v>
      </c>
      <c r="G43" s="111">
        <v>14363092</v>
      </c>
      <c r="H43" s="110">
        <v>10886</v>
      </c>
      <c r="I43" s="109">
        <v>12772465</v>
      </c>
      <c r="J43" s="108">
        <f t="shared" si="0"/>
        <v>9327</v>
      </c>
      <c r="K43" s="107">
        <f t="shared" si="0"/>
        <v>14283313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36</v>
      </c>
      <c r="E44" s="116">
        <f>'６月'!K44</f>
        <v>138780</v>
      </c>
      <c r="F44" s="112">
        <v>6</v>
      </c>
      <c r="G44" s="111">
        <v>7680</v>
      </c>
      <c r="H44" s="110">
        <v>13</v>
      </c>
      <c r="I44" s="109">
        <v>18060</v>
      </c>
      <c r="J44" s="108">
        <f t="shared" si="0"/>
        <v>29</v>
      </c>
      <c r="K44" s="107">
        <f t="shared" si="0"/>
        <v>128400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5530</v>
      </c>
      <c r="E45" s="116">
        <f>'６月'!K45</f>
        <v>2710067</v>
      </c>
      <c r="F45" s="112">
        <v>4665</v>
      </c>
      <c r="G45" s="111">
        <v>1837549</v>
      </c>
      <c r="H45" s="110">
        <v>4610</v>
      </c>
      <c r="I45" s="109">
        <v>1936801</v>
      </c>
      <c r="J45" s="108">
        <f t="shared" si="0"/>
        <v>5585</v>
      </c>
      <c r="K45" s="107">
        <f t="shared" si="0"/>
        <v>2610815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8238</v>
      </c>
      <c r="E46" s="116">
        <f>'６月'!K46</f>
        <v>2809926</v>
      </c>
      <c r="F46" s="105">
        <v>3701</v>
      </c>
      <c r="G46" s="104">
        <v>513692</v>
      </c>
      <c r="H46" s="103">
        <v>3003</v>
      </c>
      <c r="I46" s="102">
        <v>1958825</v>
      </c>
      <c r="J46" s="101">
        <f t="shared" si="0"/>
        <v>8936</v>
      </c>
      <c r="K46" s="100">
        <f t="shared" si="0"/>
        <v>1364793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2999</v>
      </c>
      <c r="E47" s="116">
        <f>'６月'!K47</f>
        <v>1907188</v>
      </c>
      <c r="F47" s="105">
        <v>1180</v>
      </c>
      <c r="G47" s="104">
        <v>375739</v>
      </c>
      <c r="H47" s="103">
        <v>1157</v>
      </c>
      <c r="I47" s="102">
        <v>505796</v>
      </c>
      <c r="J47" s="101">
        <f t="shared" si="0"/>
        <v>3022</v>
      </c>
      <c r="K47" s="100">
        <f t="shared" si="0"/>
        <v>1777131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7661</v>
      </c>
      <c r="E49" s="116">
        <f>'６月'!K49</f>
        <v>2306106</v>
      </c>
      <c r="F49" s="98">
        <v>6459</v>
      </c>
      <c r="G49" s="97">
        <v>1999449</v>
      </c>
      <c r="H49" s="96">
        <v>6699</v>
      </c>
      <c r="I49" s="95">
        <f>1614945-1</f>
        <v>1614944</v>
      </c>
      <c r="J49" s="94">
        <f t="shared" si="0"/>
        <v>7421</v>
      </c>
      <c r="K49" s="93">
        <f t="shared" si="0"/>
        <v>2690611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329478</v>
      </c>
      <c r="E50" s="90">
        <f t="shared" si="1"/>
        <v>82226120</v>
      </c>
      <c r="F50" s="89">
        <f t="shared" si="1"/>
        <v>131967</v>
      </c>
      <c r="G50" s="87">
        <f t="shared" si="1"/>
        <v>44061667</v>
      </c>
      <c r="H50" s="89">
        <f t="shared" si="1"/>
        <v>131637</v>
      </c>
      <c r="I50" s="87">
        <f t="shared" si="1"/>
        <v>45444877</v>
      </c>
      <c r="J50" s="88">
        <f t="shared" si="0"/>
        <v>329808</v>
      </c>
      <c r="K50" s="87">
        <f t="shared" si="0"/>
        <v>80842910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4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36437</v>
      </c>
      <c r="E10" s="116">
        <f>'７月'!K10</f>
        <v>9317499</v>
      </c>
      <c r="F10" s="119"/>
      <c r="G10" s="118"/>
      <c r="H10" s="117"/>
      <c r="I10" s="116"/>
      <c r="J10" s="115">
        <f aca="true" t="shared" si="0" ref="J10:K50">D10+F10-H10</f>
        <v>36437</v>
      </c>
      <c r="K10" s="114">
        <f t="shared" si="0"/>
        <v>9317499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39</v>
      </c>
      <c r="E11" s="116">
        <f>'７月'!K11</f>
        <v>2166</v>
      </c>
      <c r="F11" s="105"/>
      <c r="G11" s="104"/>
      <c r="H11" s="103"/>
      <c r="I11" s="102"/>
      <c r="J11" s="101">
        <f t="shared" si="0"/>
        <v>39</v>
      </c>
      <c r="K11" s="100">
        <f t="shared" si="0"/>
        <v>2166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0</v>
      </c>
      <c r="E12" s="116">
        <f>'７月'!K12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1102</v>
      </c>
      <c r="E13" s="116">
        <f>'７月'!K13</f>
        <v>150770</v>
      </c>
      <c r="F13" s="105"/>
      <c r="G13" s="104"/>
      <c r="H13" s="103"/>
      <c r="I13" s="102"/>
      <c r="J13" s="101">
        <f t="shared" si="0"/>
        <v>1102</v>
      </c>
      <c r="K13" s="100">
        <f t="shared" si="0"/>
        <v>150770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0</v>
      </c>
      <c r="E17" s="116">
        <f>'７月'!K17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44</v>
      </c>
      <c r="E18" s="116">
        <f>'７月'!K18</f>
        <v>6134</v>
      </c>
      <c r="F18" s="105"/>
      <c r="G18" s="104"/>
      <c r="H18" s="103"/>
      <c r="I18" s="102"/>
      <c r="J18" s="101">
        <f t="shared" si="0"/>
        <v>44</v>
      </c>
      <c r="K18" s="100">
        <f t="shared" si="0"/>
        <v>6134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1</v>
      </c>
      <c r="E20" s="116">
        <f>'７月'!K20</f>
        <v>3</v>
      </c>
      <c r="F20" s="105"/>
      <c r="G20" s="104"/>
      <c r="H20" s="103"/>
      <c r="I20" s="102"/>
      <c r="J20" s="101">
        <f t="shared" si="0"/>
        <v>1</v>
      </c>
      <c r="K20" s="100">
        <f t="shared" si="0"/>
        <v>3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7401</v>
      </c>
      <c r="E22" s="116">
        <f>'７月'!K22</f>
        <v>1005120</v>
      </c>
      <c r="F22" s="105"/>
      <c r="G22" s="104"/>
      <c r="H22" s="103"/>
      <c r="I22" s="102"/>
      <c r="J22" s="101">
        <f t="shared" si="0"/>
        <v>7401</v>
      </c>
      <c r="K22" s="100">
        <f t="shared" si="0"/>
        <v>1005120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2971</v>
      </c>
      <c r="E23" s="116">
        <f>'７月'!K23</f>
        <v>2726276</v>
      </c>
      <c r="F23" s="112"/>
      <c r="G23" s="111"/>
      <c r="H23" s="110"/>
      <c r="I23" s="109"/>
      <c r="J23" s="108">
        <f t="shared" si="0"/>
        <v>2971</v>
      </c>
      <c r="K23" s="107">
        <f t="shared" si="0"/>
        <v>2726276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25624</v>
      </c>
      <c r="E24" s="116">
        <f>'７月'!K24</f>
        <v>3138406</v>
      </c>
      <c r="F24" s="105"/>
      <c r="G24" s="104"/>
      <c r="H24" s="103"/>
      <c r="I24" s="102"/>
      <c r="J24" s="101">
        <f t="shared" si="0"/>
        <v>25624</v>
      </c>
      <c r="K24" s="100">
        <f t="shared" si="0"/>
        <v>3138406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9438</v>
      </c>
      <c r="E25" s="116">
        <f>'７月'!K25</f>
        <v>5398483</v>
      </c>
      <c r="F25" s="105"/>
      <c r="G25" s="104"/>
      <c r="H25" s="103"/>
      <c r="I25" s="102"/>
      <c r="J25" s="101">
        <f t="shared" si="0"/>
        <v>9438</v>
      </c>
      <c r="K25" s="100">
        <f t="shared" si="0"/>
        <v>5398483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19627</v>
      </c>
      <c r="E26" s="116">
        <f>'７月'!K26</f>
        <v>5059262</v>
      </c>
      <c r="F26" s="105"/>
      <c r="G26" s="104"/>
      <c r="H26" s="103"/>
      <c r="I26" s="102"/>
      <c r="J26" s="101">
        <f t="shared" si="0"/>
        <v>19627</v>
      </c>
      <c r="K26" s="100">
        <f t="shared" si="0"/>
        <v>5059262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2084</v>
      </c>
      <c r="E27" s="116">
        <f>'７月'!K27</f>
        <v>333000</v>
      </c>
      <c r="F27" s="105"/>
      <c r="G27" s="104"/>
      <c r="H27" s="103"/>
      <c r="I27" s="102"/>
      <c r="J27" s="101">
        <f t="shared" si="0"/>
        <v>2084</v>
      </c>
      <c r="K27" s="100">
        <f t="shared" si="0"/>
        <v>333000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650</v>
      </c>
      <c r="E28" s="116">
        <f>'７月'!K28</f>
        <v>71500</v>
      </c>
      <c r="F28" s="105"/>
      <c r="G28" s="104"/>
      <c r="H28" s="103"/>
      <c r="I28" s="102"/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1057</v>
      </c>
      <c r="E29" s="116">
        <f>'７月'!K29</f>
        <v>314411</v>
      </c>
      <c r="F29" s="74"/>
      <c r="G29" s="111"/>
      <c r="H29" s="110"/>
      <c r="I29" s="109"/>
      <c r="J29" s="108">
        <f t="shared" si="0"/>
        <v>1057</v>
      </c>
      <c r="K29" s="107">
        <f t="shared" si="0"/>
        <v>314411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1788</v>
      </c>
      <c r="E30" s="116">
        <f>'７月'!K30</f>
        <v>806465</v>
      </c>
      <c r="F30" s="112"/>
      <c r="G30" s="111"/>
      <c r="H30" s="110"/>
      <c r="I30" s="109"/>
      <c r="J30" s="108">
        <f t="shared" si="0"/>
        <v>1788</v>
      </c>
      <c r="K30" s="107">
        <f t="shared" si="0"/>
        <v>806465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23</v>
      </c>
      <c r="E32" s="116">
        <f>'７月'!K32</f>
        <v>25387</v>
      </c>
      <c r="F32" s="112"/>
      <c r="G32" s="111"/>
      <c r="H32" s="110"/>
      <c r="I32" s="109"/>
      <c r="J32" s="108">
        <f t="shared" si="0"/>
        <v>23</v>
      </c>
      <c r="K32" s="107">
        <f t="shared" si="0"/>
        <v>25387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22498</v>
      </c>
      <c r="E33" s="116">
        <f>'７月'!K33</f>
        <v>7146592</v>
      </c>
      <c r="F33" s="112"/>
      <c r="G33" s="111"/>
      <c r="H33" s="72"/>
      <c r="I33" s="109"/>
      <c r="J33" s="108">
        <f t="shared" si="0"/>
        <v>22498</v>
      </c>
      <c r="K33" s="107">
        <f t="shared" si="0"/>
        <v>7146592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105829</v>
      </c>
      <c r="E34" s="116">
        <f>'７月'!K34</f>
        <v>7862388</v>
      </c>
      <c r="F34" s="112"/>
      <c r="G34" s="111"/>
      <c r="H34" s="110"/>
      <c r="I34" s="109"/>
      <c r="J34" s="108">
        <f t="shared" si="0"/>
        <v>105829</v>
      </c>
      <c r="K34" s="107">
        <f t="shared" si="0"/>
        <v>7862388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5328</v>
      </c>
      <c r="E35" s="116">
        <f>'７月'!K35</f>
        <v>3656509</v>
      </c>
      <c r="F35" s="112"/>
      <c r="G35" s="111"/>
      <c r="H35" s="110"/>
      <c r="I35" s="109"/>
      <c r="J35" s="108">
        <f t="shared" si="0"/>
        <v>5328</v>
      </c>
      <c r="K35" s="107">
        <f t="shared" si="0"/>
        <v>3656509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282</v>
      </c>
      <c r="E36" s="116">
        <f>'７月'!K36</f>
        <v>56840</v>
      </c>
      <c r="F36" s="112"/>
      <c r="G36" s="111"/>
      <c r="H36" s="110"/>
      <c r="I36" s="109"/>
      <c r="J36" s="108">
        <f t="shared" si="0"/>
        <v>282</v>
      </c>
      <c r="K36" s="107">
        <f t="shared" si="0"/>
        <v>56840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591</v>
      </c>
      <c r="E38" s="116">
        <f>'７月'!K38</f>
        <v>122480</v>
      </c>
      <c r="F38" s="112"/>
      <c r="G38" s="111"/>
      <c r="H38" s="110"/>
      <c r="I38" s="109"/>
      <c r="J38" s="108">
        <f t="shared" si="0"/>
        <v>591</v>
      </c>
      <c r="K38" s="107">
        <f t="shared" si="0"/>
        <v>122480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1204</v>
      </c>
      <c r="E39" s="116">
        <f>'７月'!K39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51470</v>
      </c>
      <c r="E42" s="116">
        <f>'７月'!K42</f>
        <v>9463756</v>
      </c>
      <c r="F42" s="112"/>
      <c r="G42" s="111"/>
      <c r="H42" s="110"/>
      <c r="I42" s="109"/>
      <c r="J42" s="108">
        <f t="shared" si="0"/>
        <v>51470</v>
      </c>
      <c r="K42" s="107">
        <f t="shared" si="0"/>
        <v>9463756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9327</v>
      </c>
      <c r="E43" s="116">
        <f>'７月'!K43</f>
        <v>14283313</v>
      </c>
      <c r="F43" s="112"/>
      <c r="G43" s="111"/>
      <c r="H43" s="110"/>
      <c r="I43" s="109"/>
      <c r="J43" s="108">
        <f t="shared" si="0"/>
        <v>9327</v>
      </c>
      <c r="K43" s="107">
        <f t="shared" si="0"/>
        <v>14283313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29</v>
      </c>
      <c r="E44" s="116">
        <f>'７月'!K44</f>
        <v>128400</v>
      </c>
      <c r="F44" s="112"/>
      <c r="G44" s="111"/>
      <c r="H44" s="110"/>
      <c r="I44" s="109"/>
      <c r="J44" s="108">
        <f t="shared" si="0"/>
        <v>29</v>
      </c>
      <c r="K44" s="107">
        <f t="shared" si="0"/>
        <v>128400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5585</v>
      </c>
      <c r="E45" s="116">
        <f>'７月'!K45</f>
        <v>2610815</v>
      </c>
      <c r="F45" s="112"/>
      <c r="G45" s="111"/>
      <c r="H45" s="110"/>
      <c r="I45" s="109"/>
      <c r="J45" s="108">
        <f t="shared" si="0"/>
        <v>5585</v>
      </c>
      <c r="K45" s="107">
        <f t="shared" si="0"/>
        <v>2610815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8936</v>
      </c>
      <c r="E46" s="116">
        <f>'７月'!K46</f>
        <v>1364793</v>
      </c>
      <c r="F46" s="105"/>
      <c r="G46" s="104"/>
      <c r="H46" s="103"/>
      <c r="I46" s="102"/>
      <c r="J46" s="101">
        <f t="shared" si="0"/>
        <v>8936</v>
      </c>
      <c r="K46" s="100">
        <f t="shared" si="0"/>
        <v>1364793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3022</v>
      </c>
      <c r="E47" s="116">
        <f>'７月'!K47</f>
        <v>1777131</v>
      </c>
      <c r="F47" s="105"/>
      <c r="G47" s="104"/>
      <c r="H47" s="103"/>
      <c r="I47" s="102"/>
      <c r="J47" s="101">
        <f t="shared" si="0"/>
        <v>3022</v>
      </c>
      <c r="K47" s="100">
        <f t="shared" si="0"/>
        <v>1777131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7421</v>
      </c>
      <c r="E49" s="116">
        <f>'７月'!K49</f>
        <v>2690611</v>
      </c>
      <c r="F49" s="98"/>
      <c r="G49" s="97"/>
      <c r="H49" s="96"/>
      <c r="I49" s="95"/>
      <c r="J49" s="94">
        <f t="shared" si="0"/>
        <v>7421</v>
      </c>
      <c r="K49" s="93">
        <f t="shared" si="0"/>
        <v>2690611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329808</v>
      </c>
      <c r="E50" s="90">
        <f t="shared" si="1"/>
        <v>80842910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329808</v>
      </c>
      <c r="K50" s="87">
        <f t="shared" si="0"/>
        <v>80842910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3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4" sqref="D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平成２８年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36437</v>
      </c>
      <c r="E10" s="116">
        <f>'８月'!K10</f>
        <v>9317499</v>
      </c>
      <c r="F10" s="119"/>
      <c r="G10" s="118"/>
      <c r="H10" s="117"/>
      <c r="I10" s="116"/>
      <c r="J10" s="115">
        <f aca="true" t="shared" si="0" ref="J10:K50">D10+F10-H10</f>
        <v>36437</v>
      </c>
      <c r="K10" s="114">
        <f t="shared" si="0"/>
        <v>9317499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39</v>
      </c>
      <c r="E11" s="116">
        <f>'８月'!K11</f>
        <v>2166</v>
      </c>
      <c r="F11" s="105"/>
      <c r="G11" s="104"/>
      <c r="H11" s="103"/>
      <c r="I11" s="102"/>
      <c r="J11" s="101">
        <f t="shared" si="0"/>
        <v>39</v>
      </c>
      <c r="K11" s="100">
        <f t="shared" si="0"/>
        <v>2166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0</v>
      </c>
      <c r="E12" s="116">
        <f>'８月'!K12</f>
        <v>0</v>
      </c>
      <c r="F12" s="105"/>
      <c r="G12" s="104"/>
      <c r="H12" s="103"/>
      <c r="I12" s="102"/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1102</v>
      </c>
      <c r="E13" s="116">
        <f>'８月'!K13</f>
        <v>150770</v>
      </c>
      <c r="F13" s="105"/>
      <c r="G13" s="104"/>
      <c r="H13" s="103"/>
      <c r="I13" s="102"/>
      <c r="J13" s="101">
        <f t="shared" si="0"/>
        <v>1102</v>
      </c>
      <c r="K13" s="100">
        <f t="shared" si="0"/>
        <v>150770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0</v>
      </c>
      <c r="E17" s="116">
        <f>'８月'!K17</f>
        <v>0</v>
      </c>
      <c r="F17" s="105"/>
      <c r="G17" s="104"/>
      <c r="H17" s="103"/>
      <c r="I17" s="102"/>
      <c r="J17" s="101">
        <f t="shared" si="0"/>
        <v>0</v>
      </c>
      <c r="K17" s="100">
        <f t="shared" si="0"/>
        <v>0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44</v>
      </c>
      <c r="E18" s="116">
        <f>'８月'!K18</f>
        <v>6134</v>
      </c>
      <c r="F18" s="105"/>
      <c r="G18" s="104"/>
      <c r="H18" s="103"/>
      <c r="I18" s="102"/>
      <c r="J18" s="101">
        <f t="shared" si="0"/>
        <v>44</v>
      </c>
      <c r="K18" s="100">
        <f t="shared" si="0"/>
        <v>6134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1</v>
      </c>
      <c r="E20" s="116">
        <f>'８月'!K20</f>
        <v>3</v>
      </c>
      <c r="F20" s="105"/>
      <c r="G20" s="104"/>
      <c r="H20" s="103"/>
      <c r="I20" s="102"/>
      <c r="J20" s="101">
        <f t="shared" si="0"/>
        <v>1</v>
      </c>
      <c r="K20" s="100">
        <f t="shared" si="0"/>
        <v>3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7401</v>
      </c>
      <c r="E22" s="116">
        <f>'８月'!K22</f>
        <v>1005120</v>
      </c>
      <c r="F22" s="105"/>
      <c r="G22" s="104"/>
      <c r="H22" s="103"/>
      <c r="I22" s="102"/>
      <c r="J22" s="101">
        <f t="shared" si="0"/>
        <v>7401</v>
      </c>
      <c r="K22" s="100">
        <f t="shared" si="0"/>
        <v>1005120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2971</v>
      </c>
      <c r="E23" s="116">
        <f>'８月'!K23</f>
        <v>2726276</v>
      </c>
      <c r="F23" s="112"/>
      <c r="G23" s="111"/>
      <c r="H23" s="110"/>
      <c r="I23" s="109"/>
      <c r="J23" s="108">
        <f t="shared" si="0"/>
        <v>2971</v>
      </c>
      <c r="K23" s="107">
        <f t="shared" si="0"/>
        <v>2726276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25624</v>
      </c>
      <c r="E24" s="116">
        <f>'８月'!K24</f>
        <v>3138406</v>
      </c>
      <c r="F24" s="105"/>
      <c r="G24" s="104"/>
      <c r="H24" s="103"/>
      <c r="I24" s="102"/>
      <c r="J24" s="101">
        <f t="shared" si="0"/>
        <v>25624</v>
      </c>
      <c r="K24" s="100">
        <f t="shared" si="0"/>
        <v>3138406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9438</v>
      </c>
      <c r="E25" s="116">
        <f>'８月'!K25</f>
        <v>5398483</v>
      </c>
      <c r="F25" s="105"/>
      <c r="G25" s="104"/>
      <c r="H25" s="103"/>
      <c r="I25" s="102"/>
      <c r="J25" s="101">
        <f t="shared" si="0"/>
        <v>9438</v>
      </c>
      <c r="K25" s="100">
        <f t="shared" si="0"/>
        <v>5398483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19627</v>
      </c>
      <c r="E26" s="116">
        <f>'８月'!K26</f>
        <v>5059262</v>
      </c>
      <c r="F26" s="105"/>
      <c r="G26" s="104"/>
      <c r="H26" s="103"/>
      <c r="I26" s="102"/>
      <c r="J26" s="101">
        <f t="shared" si="0"/>
        <v>19627</v>
      </c>
      <c r="K26" s="100">
        <f t="shared" si="0"/>
        <v>5059262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2084</v>
      </c>
      <c r="E27" s="116">
        <f>'８月'!K27</f>
        <v>333000</v>
      </c>
      <c r="F27" s="105"/>
      <c r="G27" s="104"/>
      <c r="H27" s="103"/>
      <c r="I27" s="102"/>
      <c r="J27" s="101">
        <f t="shared" si="0"/>
        <v>2084</v>
      </c>
      <c r="K27" s="100">
        <f t="shared" si="0"/>
        <v>333000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650</v>
      </c>
      <c r="E28" s="116">
        <f>'８月'!K28</f>
        <v>71500</v>
      </c>
      <c r="F28" s="105"/>
      <c r="G28" s="104"/>
      <c r="H28" s="103"/>
      <c r="I28" s="102"/>
      <c r="J28" s="101">
        <f t="shared" si="0"/>
        <v>650</v>
      </c>
      <c r="K28" s="100">
        <f t="shared" si="0"/>
        <v>71500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1057</v>
      </c>
      <c r="E29" s="116">
        <f>'８月'!K29</f>
        <v>314411</v>
      </c>
      <c r="F29" s="74"/>
      <c r="G29" s="111"/>
      <c r="H29" s="110"/>
      <c r="I29" s="109"/>
      <c r="J29" s="108">
        <f t="shared" si="0"/>
        <v>1057</v>
      </c>
      <c r="K29" s="107">
        <f t="shared" si="0"/>
        <v>314411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1788</v>
      </c>
      <c r="E30" s="116">
        <f>'８月'!K30</f>
        <v>806465</v>
      </c>
      <c r="F30" s="112"/>
      <c r="G30" s="111"/>
      <c r="H30" s="110"/>
      <c r="I30" s="109"/>
      <c r="J30" s="108">
        <f t="shared" si="0"/>
        <v>1788</v>
      </c>
      <c r="K30" s="107">
        <f t="shared" si="0"/>
        <v>806465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23</v>
      </c>
      <c r="E32" s="116">
        <f>'８月'!K32</f>
        <v>25387</v>
      </c>
      <c r="F32" s="112"/>
      <c r="G32" s="111"/>
      <c r="H32" s="110"/>
      <c r="I32" s="109"/>
      <c r="J32" s="108">
        <f t="shared" si="0"/>
        <v>23</v>
      </c>
      <c r="K32" s="107">
        <f t="shared" si="0"/>
        <v>25387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22498</v>
      </c>
      <c r="E33" s="116">
        <f>'８月'!K33</f>
        <v>7146592</v>
      </c>
      <c r="F33" s="112"/>
      <c r="G33" s="111"/>
      <c r="H33" s="72"/>
      <c r="I33" s="109"/>
      <c r="J33" s="108">
        <f t="shared" si="0"/>
        <v>22498</v>
      </c>
      <c r="K33" s="107">
        <f t="shared" si="0"/>
        <v>7146592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105829</v>
      </c>
      <c r="E34" s="116">
        <f>'８月'!K34</f>
        <v>7862388</v>
      </c>
      <c r="F34" s="112"/>
      <c r="G34" s="111"/>
      <c r="H34" s="110"/>
      <c r="I34" s="109"/>
      <c r="J34" s="108">
        <f t="shared" si="0"/>
        <v>105829</v>
      </c>
      <c r="K34" s="107">
        <f t="shared" si="0"/>
        <v>7862388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5328</v>
      </c>
      <c r="E35" s="116">
        <f>'８月'!K35</f>
        <v>3656509</v>
      </c>
      <c r="F35" s="112"/>
      <c r="G35" s="111"/>
      <c r="H35" s="110"/>
      <c r="I35" s="109"/>
      <c r="J35" s="108">
        <f t="shared" si="0"/>
        <v>5328</v>
      </c>
      <c r="K35" s="107">
        <f t="shared" si="0"/>
        <v>3656509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282</v>
      </c>
      <c r="E36" s="116">
        <f>'８月'!K36</f>
        <v>56840</v>
      </c>
      <c r="F36" s="112"/>
      <c r="G36" s="111"/>
      <c r="H36" s="110"/>
      <c r="I36" s="109"/>
      <c r="J36" s="108">
        <f t="shared" si="0"/>
        <v>282</v>
      </c>
      <c r="K36" s="107">
        <f t="shared" si="0"/>
        <v>56840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591</v>
      </c>
      <c r="E38" s="116">
        <f>'８月'!K38</f>
        <v>122480</v>
      </c>
      <c r="F38" s="112"/>
      <c r="G38" s="111"/>
      <c r="H38" s="110"/>
      <c r="I38" s="109"/>
      <c r="J38" s="108">
        <f t="shared" si="0"/>
        <v>591</v>
      </c>
      <c r="K38" s="107">
        <f t="shared" si="0"/>
        <v>122480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1204</v>
      </c>
      <c r="E39" s="116">
        <f>'８月'!K39</f>
        <v>1324400</v>
      </c>
      <c r="F39" s="112"/>
      <c r="G39" s="111"/>
      <c r="H39" s="110"/>
      <c r="I39" s="109"/>
      <c r="J39" s="108">
        <f t="shared" si="0"/>
        <v>1204</v>
      </c>
      <c r="K39" s="107">
        <f t="shared" si="0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51470</v>
      </c>
      <c r="E42" s="116">
        <f>'８月'!K42</f>
        <v>9463756</v>
      </c>
      <c r="F42" s="112"/>
      <c r="G42" s="111"/>
      <c r="H42" s="110"/>
      <c r="I42" s="109"/>
      <c r="J42" s="108">
        <f t="shared" si="0"/>
        <v>51470</v>
      </c>
      <c r="K42" s="107">
        <f t="shared" si="0"/>
        <v>9463756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9327</v>
      </c>
      <c r="E43" s="116">
        <f>'８月'!K43</f>
        <v>14283313</v>
      </c>
      <c r="F43" s="112"/>
      <c r="G43" s="111"/>
      <c r="H43" s="110"/>
      <c r="I43" s="109"/>
      <c r="J43" s="108">
        <f t="shared" si="0"/>
        <v>9327</v>
      </c>
      <c r="K43" s="107">
        <f t="shared" si="0"/>
        <v>14283313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29</v>
      </c>
      <c r="E44" s="116">
        <f>'８月'!K44</f>
        <v>128400</v>
      </c>
      <c r="F44" s="112"/>
      <c r="G44" s="111"/>
      <c r="H44" s="110"/>
      <c r="I44" s="109"/>
      <c r="J44" s="108">
        <f t="shared" si="0"/>
        <v>29</v>
      </c>
      <c r="K44" s="107">
        <f t="shared" si="0"/>
        <v>128400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5585</v>
      </c>
      <c r="E45" s="116">
        <f>'８月'!K45</f>
        <v>2610815</v>
      </c>
      <c r="F45" s="112"/>
      <c r="G45" s="111"/>
      <c r="H45" s="110"/>
      <c r="I45" s="109"/>
      <c r="J45" s="108">
        <f t="shared" si="0"/>
        <v>5585</v>
      </c>
      <c r="K45" s="107">
        <f t="shared" si="0"/>
        <v>2610815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8936</v>
      </c>
      <c r="E46" s="116">
        <f>'８月'!K46</f>
        <v>1364793</v>
      </c>
      <c r="F46" s="105"/>
      <c r="G46" s="104"/>
      <c r="H46" s="103"/>
      <c r="I46" s="102"/>
      <c r="J46" s="101">
        <f t="shared" si="0"/>
        <v>8936</v>
      </c>
      <c r="K46" s="100">
        <f t="shared" si="0"/>
        <v>1364793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3022</v>
      </c>
      <c r="E47" s="116">
        <f>'８月'!K47</f>
        <v>1777131</v>
      </c>
      <c r="F47" s="105"/>
      <c r="G47" s="104"/>
      <c r="H47" s="103"/>
      <c r="I47" s="102"/>
      <c r="J47" s="101">
        <f t="shared" si="0"/>
        <v>3022</v>
      </c>
      <c r="K47" s="100">
        <f t="shared" si="0"/>
        <v>1777131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7421</v>
      </c>
      <c r="E49" s="116">
        <f>'８月'!K49</f>
        <v>2690611</v>
      </c>
      <c r="F49" s="98"/>
      <c r="G49" s="97"/>
      <c r="H49" s="96"/>
      <c r="I49" s="95"/>
      <c r="J49" s="94">
        <f t="shared" si="0"/>
        <v>7421</v>
      </c>
      <c r="K49" s="93">
        <f t="shared" si="0"/>
        <v>2690611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329808</v>
      </c>
      <c r="E50" s="90">
        <f t="shared" si="1"/>
        <v>80842910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329808</v>
      </c>
      <c r="K50" s="87">
        <f t="shared" si="0"/>
        <v>80842910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FJ-USER</cp:lastModifiedBy>
  <cp:lastPrinted>2016-09-05T05:00:31Z</cp:lastPrinted>
  <dcterms:created xsi:type="dcterms:W3CDTF">2001-03-04T05:07:28Z</dcterms:created>
  <dcterms:modified xsi:type="dcterms:W3CDTF">2016-09-05T05:05:46Z</dcterms:modified>
  <cp:category/>
  <cp:version/>
  <cp:contentType/>
  <cp:contentStatus/>
</cp:coreProperties>
</file>