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1730" windowHeight="6060" tabRatio="589" activeTab="9"/>
  </bookViews>
  <sheets>
    <sheet name="１月" sheetId="1" r:id="rId1"/>
    <sheet name="２月" sheetId="2" r:id="rId2"/>
    <sheet name="３月" sheetId="3" r:id="rId3"/>
    <sheet name="４月" sheetId="4" r:id="rId4"/>
    <sheet name="５月" sheetId="5" r:id="rId5"/>
    <sheet name="６月" sheetId="6" r:id="rId6"/>
    <sheet name="７月" sheetId="7" r:id="rId7"/>
    <sheet name="８月" sheetId="8" r:id="rId8"/>
    <sheet name="９月" sheetId="9" r:id="rId9"/>
    <sheet name="１０月" sheetId="10" r:id="rId10"/>
    <sheet name="１１月" sheetId="11" r:id="rId11"/>
    <sheet name="１２月" sheetId="12" r:id="rId12"/>
  </sheets>
  <definedNames>
    <definedName name="_xlnm.Print_Area" localSheetId="9">'１０月'!$B$2:$L$50</definedName>
    <definedName name="_xlnm.Print_Area" localSheetId="10">'１１月'!$B$2:$L$50</definedName>
    <definedName name="_xlnm.Print_Area" localSheetId="11">'１２月'!$B$2:$L$50</definedName>
    <definedName name="_xlnm.Print_Area" localSheetId="0">'１月'!$B$2:$L$50</definedName>
    <definedName name="_xlnm.Print_Area" localSheetId="1">'２月'!$B$2:$L$50</definedName>
    <definedName name="_xlnm.Print_Area" localSheetId="2">'３月'!$B$2:$L$50</definedName>
    <definedName name="_xlnm.Print_Area" localSheetId="3">'４月'!$B$2:$L$50</definedName>
    <definedName name="_xlnm.Print_Area" localSheetId="4">'５月'!$B$2:$L$50</definedName>
    <definedName name="_xlnm.Print_Area" localSheetId="5">'６月'!$B$2:$L$50</definedName>
    <definedName name="_xlnm.Print_Area" localSheetId="6">'７月'!$B$2:$L$50</definedName>
    <definedName name="_xlnm.Print_Area" localSheetId="7">'８月'!$B$2:$L$50</definedName>
    <definedName name="_xlnm.Print_Area" localSheetId="8">'９月'!$B$2:$L$50</definedName>
  </definedNames>
  <calcPr fullCalcOnLoad="1"/>
</workbook>
</file>

<file path=xl/sharedStrings.xml><?xml version="1.0" encoding="utf-8"?>
<sst xmlns="http://schemas.openxmlformats.org/spreadsheetml/2006/main" count="865" uniqueCount="74">
  <si>
    <t>前月末保管残高</t>
  </si>
  <si>
    <t>当月中入庫高</t>
  </si>
  <si>
    <t>当月中出庫高</t>
  </si>
  <si>
    <t>当月末保管残高</t>
  </si>
  <si>
    <t>備考</t>
  </si>
  <si>
    <t>千円</t>
  </si>
  <si>
    <t>米</t>
  </si>
  <si>
    <t>麦</t>
  </si>
  <si>
    <t>雑穀</t>
  </si>
  <si>
    <t>豆</t>
  </si>
  <si>
    <t>畜産品</t>
  </si>
  <si>
    <t>水産品</t>
  </si>
  <si>
    <t>油脂用作物</t>
  </si>
  <si>
    <t>葉たばこ</t>
  </si>
  <si>
    <t>その他の農産物</t>
  </si>
  <si>
    <t>天然ゴム</t>
  </si>
  <si>
    <t>木材</t>
  </si>
  <si>
    <t>非金属鉱物</t>
  </si>
  <si>
    <t>鉄鋼</t>
  </si>
  <si>
    <t>非鉄金属</t>
  </si>
  <si>
    <t>金属製品</t>
  </si>
  <si>
    <t>電気機械</t>
  </si>
  <si>
    <t>その他の機械</t>
  </si>
  <si>
    <t>その他の窯業品</t>
  </si>
  <si>
    <t>石油製品</t>
  </si>
  <si>
    <t>化学薬品</t>
  </si>
  <si>
    <t>化学肥料</t>
  </si>
  <si>
    <t>染・顔・塗料</t>
  </si>
  <si>
    <t>合成樹脂</t>
  </si>
  <si>
    <t>その他の化学工業品</t>
  </si>
  <si>
    <t>紙・パルプ</t>
  </si>
  <si>
    <t>化学繊維糸</t>
  </si>
  <si>
    <t>化学繊維織物</t>
  </si>
  <si>
    <t>その他の糸</t>
  </si>
  <si>
    <t>その他の織物</t>
  </si>
  <si>
    <t>缶詰・びん詰</t>
  </si>
  <si>
    <t>砂糖</t>
  </si>
  <si>
    <t>飲料</t>
  </si>
  <si>
    <t>その他の食料工業品</t>
  </si>
  <si>
    <t>織物製品</t>
  </si>
  <si>
    <t>その他の日用品</t>
  </si>
  <si>
    <t>ゴム製品</t>
  </si>
  <si>
    <t>その他の製造工業品</t>
  </si>
  <si>
    <t>動植物性飼肥料</t>
  </si>
  <si>
    <t>数  量</t>
  </si>
  <si>
    <t>金  額</t>
  </si>
  <si>
    <t>合    計</t>
  </si>
  <si>
    <t>受寄物月間入出庫及び月末保管残高報告書</t>
  </si>
  <si>
    <t>事  　項</t>
  </si>
  <si>
    <t>品  　目</t>
  </si>
  <si>
    <t>雑品</t>
  </si>
  <si>
    <t>板ガラス・同製品</t>
  </si>
  <si>
    <t>氏名又は名称</t>
  </si>
  <si>
    <t>営業所の名称</t>
  </si>
  <si>
    <t>発券・非発券の別</t>
  </si>
  <si>
    <t>トン</t>
  </si>
  <si>
    <t>トン</t>
  </si>
  <si>
    <t>栃木県倉庫協会</t>
  </si>
  <si>
    <t>普通倉庫合計</t>
  </si>
  <si>
    <t>栃木県</t>
  </si>
  <si>
    <t>トン</t>
  </si>
  <si>
    <t>平成２８年</t>
  </si>
  <si>
    <t>１月</t>
  </si>
  <si>
    <t>2月</t>
  </si>
  <si>
    <t>3月</t>
  </si>
  <si>
    <t>４月</t>
  </si>
  <si>
    <t>5月</t>
  </si>
  <si>
    <t>6月</t>
  </si>
  <si>
    <t>７月</t>
  </si>
  <si>
    <t>８月</t>
  </si>
  <si>
    <t>９月</t>
  </si>
  <si>
    <t>１０月</t>
  </si>
  <si>
    <t>１１月</t>
  </si>
  <si>
    <t>１２月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</si>
</sst>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_);[Red]\(#,##0\)"/>
  </numFmts>
  <fonts count="42">
    <font>
      <sz val="11"/>
      <name val="ＭＳ Ｐ明朝"/>
      <family val="1"/>
    </font>
    <font>
      <sz val="6"/>
      <name val="ＭＳ Ｐ明朝"/>
      <family val="1"/>
    </font>
    <font>
      <sz val="14"/>
      <name val="ＭＳ Ｐ明朝"/>
      <family val="1"/>
    </font>
    <font>
      <u val="single"/>
      <sz val="11"/>
      <color indexed="12"/>
      <name val="ＭＳ Ｐ明朝"/>
      <family val="1"/>
    </font>
    <font>
      <u val="single"/>
      <sz val="11"/>
      <color indexed="36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double"/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thin"/>
      <right style="double"/>
      <top style="double"/>
      <bottom style="medium"/>
    </border>
    <border>
      <left style="double"/>
      <right style="thin"/>
      <top style="double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righ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distributed" vertical="center" wrapText="1"/>
    </xf>
    <xf numFmtId="0" fontId="0" fillId="0" borderId="28" xfId="0" applyBorder="1" applyAlignment="1">
      <alignment horizontal="center" vertical="center"/>
    </xf>
    <xf numFmtId="0" fontId="0" fillId="0" borderId="14" xfId="0" applyBorder="1" applyAlignment="1">
      <alignment horizontal="distributed" vertical="center" wrapText="1"/>
    </xf>
    <xf numFmtId="0" fontId="0" fillId="0" borderId="29" xfId="0" applyBorder="1" applyAlignment="1">
      <alignment horizontal="center" vertical="center"/>
    </xf>
    <xf numFmtId="0" fontId="0" fillId="0" borderId="21" xfId="0" applyBorder="1" applyAlignment="1">
      <alignment horizontal="distributed"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horizontal="left" vertical="center"/>
    </xf>
    <xf numFmtId="38" fontId="0" fillId="0" borderId="30" xfId="49" applyFont="1" applyBorder="1" applyAlignment="1">
      <alignment vertical="center"/>
    </xf>
    <xf numFmtId="38" fontId="0" fillId="0" borderId="31" xfId="49" applyFont="1" applyBorder="1" applyAlignment="1">
      <alignment vertical="center"/>
    </xf>
    <xf numFmtId="176" fontId="0" fillId="0" borderId="32" xfId="49" applyNumberFormat="1" applyFont="1" applyBorder="1" applyAlignment="1">
      <alignment vertical="center"/>
    </xf>
    <xf numFmtId="38" fontId="0" fillId="0" borderId="16" xfId="49" applyFont="1" applyBorder="1" applyAlignment="1">
      <alignment vertical="center"/>
    </xf>
    <xf numFmtId="38" fontId="0" fillId="0" borderId="17" xfId="49" applyFont="1" applyBorder="1" applyAlignment="1">
      <alignment vertical="center"/>
    </xf>
    <xf numFmtId="176" fontId="0" fillId="0" borderId="33" xfId="49" applyNumberFormat="1" applyFont="1" applyBorder="1" applyAlignment="1">
      <alignment vertical="center"/>
    </xf>
    <xf numFmtId="38" fontId="0" fillId="0" borderId="23" xfId="49" applyFont="1" applyBorder="1" applyAlignment="1">
      <alignment vertical="center"/>
    </xf>
    <xf numFmtId="38" fontId="0" fillId="0" borderId="24" xfId="49" applyFont="1" applyBorder="1" applyAlignment="1">
      <alignment vertical="center"/>
    </xf>
    <xf numFmtId="176" fontId="0" fillId="0" borderId="34" xfId="49" applyNumberFormat="1" applyFont="1" applyBorder="1" applyAlignment="1">
      <alignment vertical="center"/>
    </xf>
    <xf numFmtId="176" fontId="0" fillId="0" borderId="35" xfId="49" applyNumberFormat="1" applyFont="1" applyBorder="1" applyAlignment="1">
      <alignment vertical="center"/>
    </xf>
    <xf numFmtId="38" fontId="0" fillId="0" borderId="27" xfId="49" applyFont="1" applyBorder="1" applyAlignment="1" applyProtection="1">
      <alignment vertical="center"/>
      <protection/>
    </xf>
    <xf numFmtId="38" fontId="0" fillId="0" borderId="36" xfId="49" applyFont="1" applyBorder="1" applyAlignment="1" applyProtection="1">
      <alignment vertical="center"/>
      <protection/>
    </xf>
    <xf numFmtId="38" fontId="0" fillId="0" borderId="30" xfId="49" applyFont="1" applyBorder="1" applyAlignment="1" applyProtection="1">
      <alignment vertical="center"/>
      <protection/>
    </xf>
    <xf numFmtId="38" fontId="0" fillId="0" borderId="31" xfId="49" applyFont="1" applyBorder="1" applyAlignment="1" applyProtection="1">
      <alignment vertical="center"/>
      <protection/>
    </xf>
    <xf numFmtId="38" fontId="0" fillId="0" borderId="37" xfId="49" applyFont="1" applyBorder="1" applyAlignment="1" applyProtection="1">
      <alignment vertical="center"/>
      <protection/>
    </xf>
    <xf numFmtId="38" fontId="0" fillId="0" borderId="14" xfId="49" applyFont="1" applyBorder="1" applyAlignment="1" applyProtection="1">
      <alignment vertical="center"/>
      <protection/>
    </xf>
    <xf numFmtId="38" fontId="0" fillId="0" borderId="15" xfId="49" applyFont="1" applyBorder="1" applyAlignment="1" applyProtection="1">
      <alignment vertical="center"/>
      <protection/>
    </xf>
    <xf numFmtId="38" fontId="0" fillId="0" borderId="16" xfId="49" applyFont="1" applyBorder="1" applyAlignment="1" applyProtection="1">
      <alignment vertical="center"/>
      <protection/>
    </xf>
    <xf numFmtId="38" fontId="0" fillId="0" borderId="17" xfId="49" applyFont="1" applyBorder="1" applyAlignment="1" applyProtection="1">
      <alignment vertical="center"/>
      <protection/>
    </xf>
    <xf numFmtId="38" fontId="0" fillId="0" borderId="18" xfId="49" applyFont="1" applyBorder="1" applyAlignment="1" applyProtection="1">
      <alignment vertical="center"/>
      <protection/>
    </xf>
    <xf numFmtId="38" fontId="0" fillId="0" borderId="21" xfId="49" applyFont="1" applyBorder="1" applyAlignment="1" applyProtection="1">
      <alignment vertical="center"/>
      <protection/>
    </xf>
    <xf numFmtId="38" fontId="0" fillId="0" borderId="22" xfId="49" applyFont="1" applyBorder="1" applyAlignment="1" applyProtection="1">
      <alignment vertical="center"/>
      <protection/>
    </xf>
    <xf numFmtId="38" fontId="0" fillId="0" borderId="23" xfId="49" applyFont="1" applyBorder="1" applyAlignment="1" applyProtection="1">
      <alignment vertical="center"/>
      <protection/>
    </xf>
    <xf numFmtId="38" fontId="0" fillId="0" borderId="24" xfId="49" applyFont="1" applyBorder="1" applyAlignment="1" applyProtection="1">
      <alignment vertical="center"/>
      <protection/>
    </xf>
    <xf numFmtId="38" fontId="0" fillId="0" borderId="25" xfId="49" applyFont="1" applyBorder="1" applyAlignment="1" applyProtection="1">
      <alignment vertical="center"/>
      <protection/>
    </xf>
    <xf numFmtId="55" fontId="0" fillId="0" borderId="0" xfId="0" applyNumberFormat="1" applyAlignment="1">
      <alignment vertical="center"/>
    </xf>
    <xf numFmtId="0" fontId="0" fillId="0" borderId="0" xfId="0" applyBorder="1" applyAlignment="1" applyProtection="1">
      <alignment horizontal="center" vertical="center" shrinkToFit="1"/>
      <protection locked="0"/>
    </xf>
    <xf numFmtId="38" fontId="0" fillId="0" borderId="16" xfId="49" applyFont="1" applyFill="1" applyBorder="1" applyAlignment="1" applyProtection="1">
      <alignment vertical="center"/>
      <protection/>
    </xf>
    <xf numFmtId="38" fontId="0" fillId="0" borderId="17" xfId="49" applyFont="1" applyFill="1" applyBorder="1" applyAlignment="1" applyProtection="1">
      <alignment vertical="center"/>
      <protection/>
    </xf>
    <xf numFmtId="38" fontId="0" fillId="0" borderId="18" xfId="49" applyFont="1" applyFill="1" applyBorder="1" applyAlignment="1" applyProtection="1">
      <alignment vertical="center"/>
      <protection/>
    </xf>
    <xf numFmtId="38" fontId="0" fillId="0" borderId="15" xfId="49" applyFont="1" applyFill="1" applyBorder="1" applyAlignment="1" applyProtection="1">
      <alignment vertical="center"/>
      <protection/>
    </xf>
    <xf numFmtId="0" fontId="0" fillId="0" borderId="0" xfId="0" applyFill="1" applyAlignment="1">
      <alignment vertical="center"/>
    </xf>
    <xf numFmtId="0" fontId="0" fillId="0" borderId="28" xfId="0" applyFill="1" applyBorder="1" applyAlignment="1">
      <alignment horizontal="center" vertical="center"/>
    </xf>
    <xf numFmtId="0" fontId="0" fillId="0" borderId="14" xfId="0" applyFill="1" applyBorder="1" applyAlignment="1">
      <alignment horizontal="distributed" vertical="center" wrapText="1"/>
    </xf>
    <xf numFmtId="38" fontId="0" fillId="0" borderId="14" xfId="49" applyFont="1" applyFill="1" applyBorder="1" applyAlignment="1" applyProtection="1">
      <alignment vertical="center"/>
      <protection/>
    </xf>
    <xf numFmtId="38" fontId="0" fillId="0" borderId="16" xfId="49" applyFont="1" applyFill="1" applyBorder="1" applyAlignment="1">
      <alignment vertical="center"/>
    </xf>
    <xf numFmtId="38" fontId="0" fillId="0" borderId="17" xfId="49" applyFont="1" applyFill="1" applyBorder="1" applyAlignment="1">
      <alignment vertical="center"/>
    </xf>
    <xf numFmtId="38" fontId="0" fillId="0" borderId="38" xfId="49" applyFont="1" applyBorder="1" applyAlignment="1">
      <alignment vertical="center"/>
    </xf>
    <xf numFmtId="38" fontId="0" fillId="0" borderId="39" xfId="49" applyFont="1" applyBorder="1" applyAlignment="1">
      <alignment vertical="center"/>
    </xf>
    <xf numFmtId="38" fontId="0" fillId="0" borderId="40" xfId="49" applyFont="1" applyBorder="1" applyAlignment="1">
      <alignment vertical="center"/>
    </xf>
    <xf numFmtId="38" fontId="0" fillId="0" borderId="41" xfId="49" applyFont="1" applyBorder="1" applyAlignment="1">
      <alignment vertical="center"/>
    </xf>
    <xf numFmtId="38" fontId="0" fillId="0" borderId="42" xfId="49" applyFont="1" applyBorder="1" applyAlignment="1">
      <alignment vertical="center"/>
    </xf>
    <xf numFmtId="176" fontId="0" fillId="0" borderId="33" xfId="49" applyNumberFormat="1" applyFont="1" applyFill="1" applyBorder="1" applyAlignment="1">
      <alignment vertical="center"/>
    </xf>
    <xf numFmtId="38" fontId="0" fillId="0" borderId="18" xfId="49" applyFont="1" applyFill="1" applyBorder="1" applyAlignment="1" applyProtection="1">
      <alignment vertical="center"/>
      <protection/>
    </xf>
    <xf numFmtId="38" fontId="0" fillId="0" borderId="14" xfId="49" applyFont="1" applyFill="1" applyBorder="1" applyAlignment="1" applyProtection="1">
      <alignment vertical="center"/>
      <protection/>
    </xf>
    <xf numFmtId="38" fontId="0" fillId="0" borderId="16" xfId="49" applyFont="1" applyFill="1" applyBorder="1" applyAlignment="1" applyProtection="1">
      <alignment vertical="center"/>
      <protection/>
    </xf>
    <xf numFmtId="177" fontId="0" fillId="0" borderId="0" xfId="0" applyNumberFormat="1" applyAlignment="1">
      <alignment vertical="center"/>
    </xf>
    <xf numFmtId="177" fontId="0" fillId="0" borderId="0" xfId="49" applyNumberFormat="1" applyFont="1" applyBorder="1" applyAlignment="1">
      <alignment vertical="center"/>
    </xf>
    <xf numFmtId="38" fontId="0" fillId="0" borderId="0" xfId="0" applyNumberFormat="1" applyAlignment="1">
      <alignment vertical="center"/>
    </xf>
    <xf numFmtId="38" fontId="0" fillId="0" borderId="43" xfId="49" applyFont="1" applyBorder="1" applyAlignment="1">
      <alignment vertical="center"/>
    </xf>
    <xf numFmtId="38" fontId="0" fillId="0" borderId="0" xfId="49" applyFont="1" applyBorder="1" applyAlignment="1">
      <alignment vertical="center"/>
    </xf>
    <xf numFmtId="177" fontId="0" fillId="0" borderId="0" xfId="0" applyNumberFormat="1" applyFill="1" applyAlignment="1">
      <alignment vertical="center"/>
    </xf>
    <xf numFmtId="177" fontId="0" fillId="0" borderId="0" xfId="49" applyNumberFormat="1" applyFont="1" applyFill="1" applyBorder="1" applyAlignment="1">
      <alignment vertical="center"/>
    </xf>
    <xf numFmtId="177" fontId="0" fillId="0" borderId="0" xfId="49" applyNumberFormat="1" applyFont="1" applyBorder="1" applyAlignment="1">
      <alignment vertical="center"/>
    </xf>
    <xf numFmtId="177" fontId="0" fillId="0" borderId="0" xfId="49" applyNumberFormat="1" applyFont="1" applyFill="1" applyBorder="1" applyAlignment="1">
      <alignment vertical="center"/>
    </xf>
    <xf numFmtId="38" fontId="0" fillId="0" borderId="0" xfId="49" applyFont="1" applyBorder="1" applyAlignment="1">
      <alignment vertical="center"/>
    </xf>
    <xf numFmtId="38" fontId="0" fillId="0" borderId="43" xfId="49" applyFont="1" applyBorder="1" applyAlignment="1">
      <alignment vertical="center"/>
    </xf>
    <xf numFmtId="176" fontId="0" fillId="0" borderId="35" xfId="49" applyNumberFormat="1" applyFont="1" applyBorder="1" applyAlignment="1">
      <alignment vertical="center"/>
    </xf>
    <xf numFmtId="38" fontId="0" fillId="0" borderId="41" xfId="49" applyFont="1" applyBorder="1" applyAlignment="1">
      <alignment vertical="center"/>
    </xf>
    <xf numFmtId="38" fontId="0" fillId="0" borderId="42" xfId="49" applyFont="1" applyBorder="1" applyAlignment="1">
      <alignment vertical="center"/>
    </xf>
    <xf numFmtId="38" fontId="0" fillId="0" borderId="40" xfId="49" applyFont="1" applyBorder="1" applyAlignment="1">
      <alignment vertical="center"/>
    </xf>
    <xf numFmtId="38" fontId="0" fillId="0" borderId="38" xfId="49" applyFont="1" applyBorder="1" applyAlignment="1">
      <alignment vertical="center"/>
    </xf>
    <xf numFmtId="38" fontId="0" fillId="0" borderId="39" xfId="49" applyFont="1" applyBorder="1" applyAlignment="1">
      <alignment vertical="center"/>
    </xf>
    <xf numFmtId="176" fontId="0" fillId="0" borderId="34" xfId="49" applyNumberFormat="1" applyFont="1" applyBorder="1" applyAlignment="1">
      <alignment vertical="center"/>
    </xf>
    <xf numFmtId="38" fontId="0" fillId="0" borderId="24" xfId="49" applyFont="1" applyBorder="1" applyAlignment="1">
      <alignment vertical="center"/>
    </xf>
    <xf numFmtId="38" fontId="0" fillId="0" borderId="23" xfId="49" applyFont="1" applyBorder="1" applyAlignment="1">
      <alignment vertical="center"/>
    </xf>
    <xf numFmtId="38" fontId="0" fillId="0" borderId="22" xfId="49" applyFont="1" applyBorder="1" applyAlignment="1" applyProtection="1">
      <alignment vertical="center"/>
      <protection/>
    </xf>
    <xf numFmtId="38" fontId="0" fillId="0" borderId="25" xfId="49" applyFont="1" applyBorder="1" applyAlignment="1" applyProtection="1">
      <alignment vertical="center"/>
      <protection/>
    </xf>
    <xf numFmtId="38" fontId="0" fillId="0" borderId="24" xfId="49" applyFont="1" applyBorder="1" applyAlignment="1" applyProtection="1">
      <alignment vertical="center"/>
      <protection/>
    </xf>
    <xf numFmtId="38" fontId="0" fillId="0" borderId="23" xfId="49" applyFont="1" applyBorder="1" applyAlignment="1" applyProtection="1">
      <alignment vertical="center"/>
      <protection/>
    </xf>
    <xf numFmtId="176" fontId="0" fillId="0" borderId="33" xfId="49" applyNumberFormat="1" applyFont="1" applyBorder="1" applyAlignment="1">
      <alignment vertical="center"/>
    </xf>
    <xf numFmtId="38" fontId="0" fillId="0" borderId="17" xfId="49" applyFont="1" applyBorder="1" applyAlignment="1">
      <alignment vertical="center"/>
    </xf>
    <xf numFmtId="38" fontId="0" fillId="0" borderId="16" xfId="49" applyFont="1" applyBorder="1" applyAlignment="1">
      <alignment vertical="center"/>
    </xf>
    <xf numFmtId="38" fontId="0" fillId="0" borderId="15" xfId="49" applyFont="1" applyBorder="1" applyAlignment="1" applyProtection="1">
      <alignment vertical="center"/>
      <protection/>
    </xf>
    <xf numFmtId="38" fontId="0" fillId="0" borderId="18" xfId="49" applyFont="1" applyBorder="1" applyAlignment="1" applyProtection="1">
      <alignment vertical="center"/>
      <protection/>
    </xf>
    <xf numFmtId="38" fontId="0" fillId="0" borderId="17" xfId="49" applyFont="1" applyBorder="1" applyAlignment="1" applyProtection="1">
      <alignment vertical="center"/>
      <protection/>
    </xf>
    <xf numFmtId="38" fontId="0" fillId="0" borderId="16" xfId="49" applyFont="1" applyBorder="1" applyAlignment="1" applyProtection="1">
      <alignment vertical="center"/>
      <protection/>
    </xf>
    <xf numFmtId="176" fontId="0" fillId="0" borderId="33" xfId="49" applyNumberFormat="1" applyFont="1" applyFill="1" applyBorder="1" applyAlignment="1">
      <alignment vertical="center"/>
    </xf>
    <xf numFmtId="38" fontId="0" fillId="0" borderId="17" xfId="49" applyFont="1" applyFill="1" applyBorder="1" applyAlignment="1">
      <alignment vertical="center"/>
    </xf>
    <xf numFmtId="38" fontId="0" fillId="0" borderId="16" xfId="49" applyFont="1" applyFill="1" applyBorder="1" applyAlignment="1">
      <alignment vertical="center"/>
    </xf>
    <xf numFmtId="38" fontId="0" fillId="0" borderId="15" xfId="49" applyFont="1" applyFill="1" applyBorder="1" applyAlignment="1" applyProtection="1">
      <alignment vertical="center"/>
      <protection/>
    </xf>
    <xf numFmtId="38" fontId="0" fillId="0" borderId="18" xfId="49" applyFont="1" applyFill="1" applyBorder="1" applyAlignment="1" applyProtection="1">
      <alignment vertical="center"/>
      <protection/>
    </xf>
    <xf numFmtId="38" fontId="0" fillId="0" borderId="17" xfId="49" applyFont="1" applyFill="1" applyBorder="1" applyAlignment="1" applyProtection="1">
      <alignment vertical="center"/>
      <protection/>
    </xf>
    <xf numFmtId="38" fontId="0" fillId="0" borderId="16" xfId="49" applyFont="1" applyFill="1" applyBorder="1" applyAlignment="1" applyProtection="1">
      <alignment vertical="center"/>
      <protection/>
    </xf>
    <xf numFmtId="176" fontId="0" fillId="0" borderId="32" xfId="49" applyNumberFormat="1" applyFont="1" applyBorder="1" applyAlignment="1">
      <alignment vertical="center"/>
    </xf>
    <xf numFmtId="38" fontId="0" fillId="0" borderId="31" xfId="49" applyFont="1" applyBorder="1" applyAlignment="1">
      <alignment vertical="center"/>
    </xf>
    <xf numFmtId="38" fontId="0" fillId="0" borderId="30" xfId="49" applyFont="1" applyBorder="1" applyAlignment="1">
      <alignment vertical="center"/>
    </xf>
    <xf numFmtId="38" fontId="0" fillId="0" borderId="36" xfId="49" applyFont="1" applyBorder="1" applyAlignment="1" applyProtection="1">
      <alignment vertical="center"/>
      <protection/>
    </xf>
    <xf numFmtId="38" fontId="0" fillId="0" borderId="37" xfId="49" applyFont="1" applyBorder="1" applyAlignment="1" applyProtection="1">
      <alignment vertical="center"/>
      <protection/>
    </xf>
    <xf numFmtId="38" fontId="0" fillId="0" borderId="31" xfId="49" applyFont="1" applyBorder="1" applyAlignment="1" applyProtection="1">
      <alignment vertical="center"/>
      <protection/>
    </xf>
    <xf numFmtId="38" fontId="0" fillId="0" borderId="30" xfId="49" applyFont="1" applyBorder="1" applyAlignment="1" applyProtection="1">
      <alignment vertical="center"/>
      <protection/>
    </xf>
    <xf numFmtId="38" fontId="0" fillId="0" borderId="27" xfId="49" applyFont="1" applyBorder="1" applyAlignment="1" applyProtection="1">
      <alignment vertical="center"/>
      <protection/>
    </xf>
    <xf numFmtId="0" fontId="0" fillId="0" borderId="0" xfId="0" applyFont="1" applyAlignment="1">
      <alignment horizontal="right" vertical="center"/>
    </xf>
    <xf numFmtId="38" fontId="0" fillId="0" borderId="27" xfId="49" applyFont="1" applyFill="1" applyBorder="1" applyAlignment="1" applyProtection="1">
      <alignment vertical="center"/>
      <protection/>
    </xf>
    <xf numFmtId="38" fontId="0" fillId="0" borderId="36" xfId="49" applyFont="1" applyFill="1" applyBorder="1" applyAlignment="1" applyProtection="1">
      <alignment vertical="center"/>
      <protection/>
    </xf>
    <xf numFmtId="38" fontId="0" fillId="0" borderId="23" xfId="49" applyFont="1" applyFill="1" applyBorder="1" applyAlignment="1" applyProtection="1">
      <alignment vertical="center"/>
      <protection/>
    </xf>
    <xf numFmtId="38" fontId="0" fillId="0" borderId="24" xfId="49" applyFont="1" applyFill="1" applyBorder="1" applyAlignment="1" applyProtection="1">
      <alignment vertical="center"/>
      <protection/>
    </xf>
    <xf numFmtId="38" fontId="0" fillId="0" borderId="25" xfId="49" applyFont="1" applyFill="1" applyBorder="1" applyAlignment="1" applyProtection="1">
      <alignment vertical="center"/>
      <protection/>
    </xf>
    <xf numFmtId="38" fontId="0" fillId="0" borderId="22" xfId="49" applyFont="1" applyFill="1" applyBorder="1" applyAlignment="1" applyProtection="1">
      <alignment vertical="center"/>
      <protection/>
    </xf>
    <xf numFmtId="38" fontId="0" fillId="0" borderId="23" xfId="49" applyFont="1" applyFill="1" applyBorder="1" applyAlignment="1">
      <alignment vertical="center"/>
    </xf>
    <xf numFmtId="38" fontId="0" fillId="0" borderId="24" xfId="49" applyFont="1" applyFill="1" applyBorder="1" applyAlignment="1">
      <alignment vertical="center"/>
    </xf>
    <xf numFmtId="38" fontId="0" fillId="0" borderId="39" xfId="49" applyFont="1" applyFill="1" applyBorder="1" applyAlignment="1">
      <alignment vertical="center"/>
    </xf>
    <xf numFmtId="38" fontId="0" fillId="0" borderId="38" xfId="49" applyFont="1" applyFill="1" applyBorder="1" applyAlignment="1">
      <alignment vertical="center"/>
    </xf>
    <xf numFmtId="38" fontId="0" fillId="0" borderId="40" xfId="49" applyFont="1" applyFill="1" applyBorder="1" applyAlignment="1">
      <alignment vertical="center"/>
    </xf>
    <xf numFmtId="38" fontId="0" fillId="0" borderId="41" xfId="49" applyFont="1" applyFill="1" applyBorder="1" applyAlignment="1">
      <alignment vertical="center"/>
    </xf>
    <xf numFmtId="38" fontId="0" fillId="0" borderId="42" xfId="49" applyFont="1" applyFill="1" applyBorder="1" applyAlignment="1">
      <alignment vertical="center"/>
    </xf>
    <xf numFmtId="177" fontId="5" fillId="0" borderId="0" xfId="0" applyNumberFormat="1" applyFont="1" applyFill="1" applyAlignment="1">
      <alignment vertical="center"/>
    </xf>
    <xf numFmtId="177" fontId="6" fillId="0" borderId="0" xfId="0" applyNumberFormat="1" applyFont="1" applyFill="1" applyAlignment="1">
      <alignment vertical="center"/>
    </xf>
    <xf numFmtId="38" fontId="0" fillId="0" borderId="17" xfId="49" applyFont="1" applyFill="1" applyBorder="1" applyAlignment="1" applyProtection="1">
      <alignment vertical="center"/>
      <protection/>
    </xf>
    <xf numFmtId="0" fontId="7" fillId="0" borderId="0" xfId="0" applyFont="1" applyAlignment="1">
      <alignment vertical="center"/>
    </xf>
    <xf numFmtId="38" fontId="0" fillId="0" borderId="0" xfId="49" applyFont="1" applyAlignment="1">
      <alignment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Font="1" applyBorder="1" applyAlignment="1" applyProtection="1">
      <alignment horizontal="center" vertical="center" shrinkToFit="1"/>
      <protection locked="0"/>
    </xf>
    <xf numFmtId="0" fontId="0" fillId="0" borderId="51" xfId="0" applyBorder="1" applyAlignment="1" applyProtection="1">
      <alignment horizontal="center" vertical="center" shrinkToFit="1"/>
      <protection locked="0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0" xfId="0" applyFont="1" applyBorder="1" applyAlignment="1" applyProtection="1">
      <alignment horizontal="center" vertical="center" shrinkToFi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3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333375" y="1285875"/>
          <a:ext cx="140970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714375</xdr:colOff>
      <xdr:row>6</xdr:row>
      <xdr:rowOff>0</xdr:rowOff>
    </xdr:from>
    <xdr:to>
      <xdr:col>4</xdr:col>
      <xdr:colOff>514350</xdr:colOff>
      <xdr:row>6</xdr:row>
      <xdr:rowOff>0</xdr:rowOff>
    </xdr:to>
    <xdr:sp>
      <xdr:nvSpPr>
        <xdr:cNvPr id="2" name="Oval 6"/>
        <xdr:cNvSpPr>
          <a:spLocks/>
        </xdr:cNvSpPr>
      </xdr:nvSpPr>
      <xdr:spPr>
        <a:xfrm>
          <a:off x="2457450" y="1285875"/>
          <a:ext cx="56197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3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333375" y="1285875"/>
          <a:ext cx="140970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714375</xdr:colOff>
      <xdr:row>6</xdr:row>
      <xdr:rowOff>0</xdr:rowOff>
    </xdr:from>
    <xdr:to>
      <xdr:col>4</xdr:col>
      <xdr:colOff>514350</xdr:colOff>
      <xdr:row>6</xdr:row>
      <xdr:rowOff>0</xdr:rowOff>
    </xdr:to>
    <xdr:sp>
      <xdr:nvSpPr>
        <xdr:cNvPr id="2" name="Oval 6"/>
        <xdr:cNvSpPr>
          <a:spLocks/>
        </xdr:cNvSpPr>
      </xdr:nvSpPr>
      <xdr:spPr>
        <a:xfrm>
          <a:off x="2457450" y="1285875"/>
          <a:ext cx="56197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3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333375" y="1285875"/>
          <a:ext cx="140970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714375</xdr:colOff>
      <xdr:row>6</xdr:row>
      <xdr:rowOff>0</xdr:rowOff>
    </xdr:from>
    <xdr:to>
      <xdr:col>4</xdr:col>
      <xdr:colOff>514350</xdr:colOff>
      <xdr:row>6</xdr:row>
      <xdr:rowOff>0</xdr:rowOff>
    </xdr:to>
    <xdr:sp>
      <xdr:nvSpPr>
        <xdr:cNvPr id="2" name="Oval 6"/>
        <xdr:cNvSpPr>
          <a:spLocks/>
        </xdr:cNvSpPr>
      </xdr:nvSpPr>
      <xdr:spPr>
        <a:xfrm>
          <a:off x="2457450" y="1285875"/>
          <a:ext cx="56197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3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333375" y="1285875"/>
          <a:ext cx="140970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714375</xdr:colOff>
      <xdr:row>6</xdr:row>
      <xdr:rowOff>0</xdr:rowOff>
    </xdr:from>
    <xdr:to>
      <xdr:col>4</xdr:col>
      <xdr:colOff>514350</xdr:colOff>
      <xdr:row>6</xdr:row>
      <xdr:rowOff>0</xdr:rowOff>
    </xdr:to>
    <xdr:sp>
      <xdr:nvSpPr>
        <xdr:cNvPr id="2" name="Oval 6"/>
        <xdr:cNvSpPr>
          <a:spLocks/>
        </xdr:cNvSpPr>
      </xdr:nvSpPr>
      <xdr:spPr>
        <a:xfrm>
          <a:off x="2457450" y="1285875"/>
          <a:ext cx="56197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3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333375" y="1285875"/>
          <a:ext cx="140970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714375</xdr:colOff>
      <xdr:row>6</xdr:row>
      <xdr:rowOff>0</xdr:rowOff>
    </xdr:from>
    <xdr:to>
      <xdr:col>4</xdr:col>
      <xdr:colOff>514350</xdr:colOff>
      <xdr:row>6</xdr:row>
      <xdr:rowOff>0</xdr:rowOff>
    </xdr:to>
    <xdr:sp>
      <xdr:nvSpPr>
        <xdr:cNvPr id="2" name="Oval 6"/>
        <xdr:cNvSpPr>
          <a:spLocks/>
        </xdr:cNvSpPr>
      </xdr:nvSpPr>
      <xdr:spPr>
        <a:xfrm>
          <a:off x="2457450" y="1285875"/>
          <a:ext cx="56197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3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333375" y="1285875"/>
          <a:ext cx="140970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714375</xdr:colOff>
      <xdr:row>6</xdr:row>
      <xdr:rowOff>0</xdr:rowOff>
    </xdr:from>
    <xdr:to>
      <xdr:col>4</xdr:col>
      <xdr:colOff>514350</xdr:colOff>
      <xdr:row>6</xdr:row>
      <xdr:rowOff>0</xdr:rowOff>
    </xdr:to>
    <xdr:sp>
      <xdr:nvSpPr>
        <xdr:cNvPr id="2" name="Oval 6"/>
        <xdr:cNvSpPr>
          <a:spLocks/>
        </xdr:cNvSpPr>
      </xdr:nvSpPr>
      <xdr:spPr>
        <a:xfrm>
          <a:off x="2457450" y="1285875"/>
          <a:ext cx="56197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3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333375" y="1285875"/>
          <a:ext cx="140970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714375</xdr:colOff>
      <xdr:row>6</xdr:row>
      <xdr:rowOff>0</xdr:rowOff>
    </xdr:from>
    <xdr:to>
      <xdr:col>4</xdr:col>
      <xdr:colOff>514350</xdr:colOff>
      <xdr:row>6</xdr:row>
      <xdr:rowOff>0</xdr:rowOff>
    </xdr:to>
    <xdr:sp>
      <xdr:nvSpPr>
        <xdr:cNvPr id="2" name="Oval 6"/>
        <xdr:cNvSpPr>
          <a:spLocks/>
        </xdr:cNvSpPr>
      </xdr:nvSpPr>
      <xdr:spPr>
        <a:xfrm>
          <a:off x="2457450" y="1285875"/>
          <a:ext cx="56197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3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333375" y="1285875"/>
          <a:ext cx="140970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714375</xdr:colOff>
      <xdr:row>6</xdr:row>
      <xdr:rowOff>0</xdr:rowOff>
    </xdr:from>
    <xdr:to>
      <xdr:col>4</xdr:col>
      <xdr:colOff>514350</xdr:colOff>
      <xdr:row>6</xdr:row>
      <xdr:rowOff>0</xdr:rowOff>
    </xdr:to>
    <xdr:sp>
      <xdr:nvSpPr>
        <xdr:cNvPr id="2" name="Oval 6"/>
        <xdr:cNvSpPr>
          <a:spLocks/>
        </xdr:cNvSpPr>
      </xdr:nvSpPr>
      <xdr:spPr>
        <a:xfrm>
          <a:off x="2457450" y="1285875"/>
          <a:ext cx="56197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3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333375" y="1285875"/>
          <a:ext cx="140970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714375</xdr:colOff>
      <xdr:row>6</xdr:row>
      <xdr:rowOff>0</xdr:rowOff>
    </xdr:from>
    <xdr:to>
      <xdr:col>4</xdr:col>
      <xdr:colOff>514350</xdr:colOff>
      <xdr:row>6</xdr:row>
      <xdr:rowOff>0</xdr:rowOff>
    </xdr:to>
    <xdr:sp>
      <xdr:nvSpPr>
        <xdr:cNvPr id="2" name="Oval 6"/>
        <xdr:cNvSpPr>
          <a:spLocks/>
        </xdr:cNvSpPr>
      </xdr:nvSpPr>
      <xdr:spPr>
        <a:xfrm>
          <a:off x="2457450" y="1285875"/>
          <a:ext cx="56197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3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333375" y="1285875"/>
          <a:ext cx="140970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714375</xdr:colOff>
      <xdr:row>6</xdr:row>
      <xdr:rowOff>0</xdr:rowOff>
    </xdr:from>
    <xdr:to>
      <xdr:col>4</xdr:col>
      <xdr:colOff>514350</xdr:colOff>
      <xdr:row>6</xdr:row>
      <xdr:rowOff>0</xdr:rowOff>
    </xdr:to>
    <xdr:sp>
      <xdr:nvSpPr>
        <xdr:cNvPr id="2" name="Oval 6"/>
        <xdr:cNvSpPr>
          <a:spLocks/>
        </xdr:cNvSpPr>
      </xdr:nvSpPr>
      <xdr:spPr>
        <a:xfrm>
          <a:off x="2457450" y="1285875"/>
          <a:ext cx="56197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3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333375" y="1285875"/>
          <a:ext cx="140970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714375</xdr:colOff>
      <xdr:row>6</xdr:row>
      <xdr:rowOff>0</xdr:rowOff>
    </xdr:from>
    <xdr:to>
      <xdr:col>4</xdr:col>
      <xdr:colOff>514350</xdr:colOff>
      <xdr:row>6</xdr:row>
      <xdr:rowOff>0</xdr:rowOff>
    </xdr:to>
    <xdr:sp>
      <xdr:nvSpPr>
        <xdr:cNvPr id="2" name="Oval 6"/>
        <xdr:cNvSpPr>
          <a:spLocks/>
        </xdr:cNvSpPr>
      </xdr:nvSpPr>
      <xdr:spPr>
        <a:xfrm>
          <a:off x="2457450" y="1285875"/>
          <a:ext cx="56197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3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333375" y="1285875"/>
          <a:ext cx="140970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714375</xdr:colOff>
      <xdr:row>6</xdr:row>
      <xdr:rowOff>0</xdr:rowOff>
    </xdr:from>
    <xdr:to>
      <xdr:col>4</xdr:col>
      <xdr:colOff>514350</xdr:colOff>
      <xdr:row>6</xdr:row>
      <xdr:rowOff>0</xdr:rowOff>
    </xdr:to>
    <xdr:sp>
      <xdr:nvSpPr>
        <xdr:cNvPr id="2" name="Oval 6"/>
        <xdr:cNvSpPr>
          <a:spLocks/>
        </xdr:cNvSpPr>
      </xdr:nvSpPr>
      <xdr:spPr>
        <a:xfrm>
          <a:off x="2457450" y="1285875"/>
          <a:ext cx="56197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65"/>
  <sheetViews>
    <sheetView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3" sqref="B3"/>
    </sheetView>
  </sheetViews>
  <sheetFormatPr defaultColWidth="9.00390625" defaultRowHeight="13.5"/>
  <cols>
    <col min="1" max="1" width="4.375" style="1" customWidth="1"/>
    <col min="2" max="2" width="3.375" style="1" customWidth="1"/>
    <col min="3" max="3" width="15.125" style="1" customWidth="1"/>
    <col min="4" max="4" width="10.00390625" style="1" customWidth="1"/>
    <col min="5" max="5" width="11.25390625" style="1" customWidth="1"/>
    <col min="6" max="6" width="10.00390625" style="1" customWidth="1"/>
    <col min="7" max="7" width="11.25390625" style="1" customWidth="1"/>
    <col min="8" max="8" width="10.00390625" style="1" customWidth="1"/>
    <col min="9" max="9" width="11.25390625" style="1" customWidth="1"/>
    <col min="10" max="10" width="10.00390625" style="1" customWidth="1"/>
    <col min="11" max="11" width="11.25390625" style="1" customWidth="1"/>
    <col min="12" max="12" width="9.375" style="1" customWidth="1"/>
    <col min="13" max="13" width="4.00390625" style="1" customWidth="1"/>
    <col min="14" max="16384" width="9.00390625" style="1" customWidth="1"/>
  </cols>
  <sheetData>
    <row r="2" spans="2:12" ht="18.75" customHeight="1">
      <c r="B2" s="142" t="s">
        <v>47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2:12" ht="15" customHeight="1">
      <c r="B3" s="28" t="s">
        <v>61</v>
      </c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2:12" ht="18" customHeight="1">
      <c r="B4" s="27"/>
      <c r="C4" s="54" t="s">
        <v>62</v>
      </c>
      <c r="E4" s="28" t="s">
        <v>54</v>
      </c>
      <c r="I4" s="26" t="s">
        <v>52</v>
      </c>
      <c r="J4" s="147" t="s">
        <v>57</v>
      </c>
      <c r="K4" s="147"/>
      <c r="L4" s="147"/>
    </row>
    <row r="5" spans="3:12" ht="18" customHeight="1">
      <c r="C5" s="1" t="s">
        <v>59</v>
      </c>
      <c r="I5" s="2" t="s">
        <v>53</v>
      </c>
      <c r="J5" s="148"/>
      <c r="K5" s="148"/>
      <c r="L5" s="148"/>
    </row>
    <row r="6" spans="5:12" ht="18" customHeight="1" thickBot="1">
      <c r="E6" s="1" t="s">
        <v>58</v>
      </c>
      <c r="I6" s="2"/>
      <c r="J6" s="55"/>
      <c r="K6" s="55"/>
      <c r="L6" s="55"/>
    </row>
    <row r="7" spans="2:12" ht="18.75" customHeight="1">
      <c r="B7" s="3"/>
      <c r="C7" s="4" t="s">
        <v>48</v>
      </c>
      <c r="D7" s="143" t="s">
        <v>0</v>
      </c>
      <c r="E7" s="144"/>
      <c r="F7" s="145" t="s">
        <v>1</v>
      </c>
      <c r="G7" s="146"/>
      <c r="H7" s="144" t="s">
        <v>2</v>
      </c>
      <c r="I7" s="144"/>
      <c r="J7" s="145" t="s">
        <v>3</v>
      </c>
      <c r="K7" s="146"/>
      <c r="L7" s="149" t="s">
        <v>4</v>
      </c>
    </row>
    <row r="8" spans="2:12" ht="18.75" customHeight="1">
      <c r="B8" s="5"/>
      <c r="C8" s="6"/>
      <c r="D8" s="7" t="s">
        <v>44</v>
      </c>
      <c r="E8" s="8" t="s">
        <v>45</v>
      </c>
      <c r="F8" s="9" t="s">
        <v>44</v>
      </c>
      <c r="G8" s="10" t="s">
        <v>45</v>
      </c>
      <c r="H8" s="11" t="s">
        <v>44</v>
      </c>
      <c r="I8" s="8" t="s">
        <v>45</v>
      </c>
      <c r="J8" s="9" t="s">
        <v>44</v>
      </c>
      <c r="K8" s="10" t="s">
        <v>45</v>
      </c>
      <c r="L8" s="150"/>
    </row>
    <row r="9" spans="2:12" ht="18.75" customHeight="1" thickBot="1">
      <c r="B9" s="12" t="s">
        <v>49</v>
      </c>
      <c r="C9" s="13"/>
      <c r="D9" s="14" t="s">
        <v>55</v>
      </c>
      <c r="E9" s="15" t="s">
        <v>5</v>
      </c>
      <c r="F9" s="16" t="s">
        <v>56</v>
      </c>
      <c r="G9" s="17" t="s">
        <v>5</v>
      </c>
      <c r="H9" s="18" t="s">
        <v>56</v>
      </c>
      <c r="I9" s="15" t="s">
        <v>5</v>
      </c>
      <c r="J9" s="16" t="s">
        <v>56</v>
      </c>
      <c r="K9" s="17" t="s">
        <v>5</v>
      </c>
      <c r="L9" s="151"/>
    </row>
    <row r="10" spans="2:14" ht="20.25" customHeight="1" thickTop="1">
      <c r="B10" s="19">
        <v>1</v>
      </c>
      <c r="C10" s="20" t="s">
        <v>6</v>
      </c>
      <c r="D10" s="39">
        <v>32025</v>
      </c>
      <c r="E10" s="40">
        <v>8246861</v>
      </c>
      <c r="F10" s="41">
        <v>1193</v>
      </c>
      <c r="G10" s="42">
        <v>82873</v>
      </c>
      <c r="H10" s="43">
        <v>2841</v>
      </c>
      <c r="I10" s="40">
        <v>513274</v>
      </c>
      <c r="J10" s="29">
        <f aca="true" t="shared" si="0" ref="J10:J50">D10+F10-H10</f>
        <v>30377</v>
      </c>
      <c r="K10" s="30">
        <f aca="true" t="shared" si="1" ref="K10:K50">E10+G10-I10</f>
        <v>7816460</v>
      </c>
      <c r="L10" s="31"/>
      <c r="N10" s="60"/>
    </row>
    <row r="11" spans="2:12" ht="20.25" customHeight="1">
      <c r="B11" s="21">
        <v>2</v>
      </c>
      <c r="C11" s="22" t="s">
        <v>7</v>
      </c>
      <c r="D11" s="44">
        <v>0</v>
      </c>
      <c r="E11" s="45">
        <v>216</v>
      </c>
      <c r="F11" s="46">
        <v>0</v>
      </c>
      <c r="G11" s="47">
        <v>0</v>
      </c>
      <c r="H11" s="48">
        <v>0</v>
      </c>
      <c r="I11" s="45">
        <v>0</v>
      </c>
      <c r="J11" s="32">
        <f t="shared" si="0"/>
        <v>0</v>
      </c>
      <c r="K11" s="33">
        <f t="shared" si="1"/>
        <v>216</v>
      </c>
      <c r="L11" s="34"/>
    </row>
    <row r="12" spans="2:12" ht="20.25" customHeight="1">
      <c r="B12" s="21">
        <v>3</v>
      </c>
      <c r="C12" s="22" t="s">
        <v>8</v>
      </c>
      <c r="D12" s="44">
        <v>0</v>
      </c>
      <c r="E12" s="45">
        <v>0</v>
      </c>
      <c r="F12" s="46">
        <v>0</v>
      </c>
      <c r="G12" s="47">
        <v>0</v>
      </c>
      <c r="H12" s="48">
        <v>0</v>
      </c>
      <c r="I12" s="45">
        <v>0</v>
      </c>
      <c r="J12" s="32">
        <f t="shared" si="0"/>
        <v>0</v>
      </c>
      <c r="K12" s="33">
        <f t="shared" si="1"/>
        <v>0</v>
      </c>
      <c r="L12" s="34"/>
    </row>
    <row r="13" spans="2:12" ht="20.25" customHeight="1">
      <c r="B13" s="21">
        <v>4</v>
      </c>
      <c r="C13" s="22" t="s">
        <v>9</v>
      </c>
      <c r="D13" s="44">
        <v>673</v>
      </c>
      <c r="E13" s="45">
        <v>137813</v>
      </c>
      <c r="F13" s="46">
        <v>159</v>
      </c>
      <c r="G13" s="47">
        <v>27008</v>
      </c>
      <c r="H13" s="48">
        <v>121</v>
      </c>
      <c r="I13" s="45">
        <v>20193</v>
      </c>
      <c r="J13" s="32">
        <f t="shared" si="0"/>
        <v>711</v>
      </c>
      <c r="K13" s="33">
        <f t="shared" si="1"/>
        <v>144628</v>
      </c>
      <c r="L13" s="34"/>
    </row>
    <row r="14" spans="2:12" ht="20.25" customHeight="1">
      <c r="B14" s="21">
        <v>5</v>
      </c>
      <c r="C14" s="22" t="s">
        <v>10</v>
      </c>
      <c r="D14" s="44">
        <v>0</v>
      </c>
      <c r="E14" s="45">
        <v>0</v>
      </c>
      <c r="F14" s="46">
        <v>0</v>
      </c>
      <c r="G14" s="47">
        <v>0</v>
      </c>
      <c r="H14" s="48">
        <v>0</v>
      </c>
      <c r="I14" s="45">
        <v>0</v>
      </c>
      <c r="J14" s="32">
        <f t="shared" si="0"/>
        <v>0</v>
      </c>
      <c r="K14" s="33">
        <f t="shared" si="1"/>
        <v>0</v>
      </c>
      <c r="L14" s="34"/>
    </row>
    <row r="15" spans="2:12" ht="20.25" customHeight="1">
      <c r="B15" s="21">
        <v>6</v>
      </c>
      <c r="C15" s="22" t="s">
        <v>11</v>
      </c>
      <c r="D15" s="44">
        <v>0</v>
      </c>
      <c r="E15" s="45">
        <v>0</v>
      </c>
      <c r="F15" s="46">
        <v>0</v>
      </c>
      <c r="G15" s="47">
        <v>0</v>
      </c>
      <c r="H15" s="48">
        <v>0</v>
      </c>
      <c r="I15" s="45">
        <v>0</v>
      </c>
      <c r="J15" s="32">
        <f t="shared" si="0"/>
        <v>0</v>
      </c>
      <c r="K15" s="33">
        <f t="shared" si="1"/>
        <v>0</v>
      </c>
      <c r="L15" s="34"/>
    </row>
    <row r="16" spans="2:12" ht="20.25" customHeight="1">
      <c r="B16" s="21">
        <v>7</v>
      </c>
      <c r="C16" s="22" t="s">
        <v>12</v>
      </c>
      <c r="D16" s="44">
        <v>0</v>
      </c>
      <c r="E16" s="45">
        <v>0</v>
      </c>
      <c r="F16" s="46">
        <v>0</v>
      </c>
      <c r="G16" s="47">
        <v>0</v>
      </c>
      <c r="H16" s="48">
        <v>0</v>
      </c>
      <c r="I16" s="45">
        <v>0</v>
      </c>
      <c r="J16" s="32">
        <f t="shared" si="0"/>
        <v>0</v>
      </c>
      <c r="K16" s="33">
        <f t="shared" si="1"/>
        <v>0</v>
      </c>
      <c r="L16" s="34"/>
    </row>
    <row r="17" spans="2:12" ht="20.25" customHeight="1">
      <c r="B17" s="21">
        <v>8</v>
      </c>
      <c r="C17" s="22" t="s">
        <v>13</v>
      </c>
      <c r="D17" s="44">
        <v>0</v>
      </c>
      <c r="E17" s="45">
        <v>0</v>
      </c>
      <c r="F17" s="46">
        <v>0</v>
      </c>
      <c r="G17" s="47">
        <v>0</v>
      </c>
      <c r="H17" s="48">
        <v>0</v>
      </c>
      <c r="I17" s="45">
        <v>0</v>
      </c>
      <c r="J17" s="32">
        <f t="shared" si="0"/>
        <v>0</v>
      </c>
      <c r="K17" s="33">
        <f t="shared" si="1"/>
        <v>0</v>
      </c>
      <c r="L17" s="34"/>
    </row>
    <row r="18" spans="2:12" ht="20.25" customHeight="1">
      <c r="B18" s="21">
        <v>9</v>
      </c>
      <c r="C18" s="22" t="s">
        <v>14</v>
      </c>
      <c r="D18" s="44">
        <v>72</v>
      </c>
      <c r="E18" s="45">
        <v>13154</v>
      </c>
      <c r="F18" s="46">
        <v>48</v>
      </c>
      <c r="G18" s="47">
        <v>4560</v>
      </c>
      <c r="H18" s="48">
        <v>47</v>
      </c>
      <c r="I18" s="45">
        <v>4889</v>
      </c>
      <c r="J18" s="32">
        <f t="shared" si="0"/>
        <v>73</v>
      </c>
      <c r="K18" s="33">
        <f t="shared" si="1"/>
        <v>12825</v>
      </c>
      <c r="L18" s="34"/>
    </row>
    <row r="19" spans="2:12" ht="20.25" customHeight="1">
      <c r="B19" s="21">
        <v>10</v>
      </c>
      <c r="C19" s="22" t="s">
        <v>15</v>
      </c>
      <c r="D19" s="44">
        <v>0</v>
      </c>
      <c r="E19" s="45">
        <v>0</v>
      </c>
      <c r="F19" s="46">
        <v>0</v>
      </c>
      <c r="G19" s="47">
        <v>0</v>
      </c>
      <c r="H19" s="48">
        <v>0</v>
      </c>
      <c r="I19" s="45">
        <v>0</v>
      </c>
      <c r="J19" s="32">
        <f t="shared" si="0"/>
        <v>0</v>
      </c>
      <c r="K19" s="33">
        <f t="shared" si="1"/>
        <v>0</v>
      </c>
      <c r="L19" s="34"/>
    </row>
    <row r="20" spans="2:12" ht="20.25" customHeight="1">
      <c r="B20" s="21">
        <v>11</v>
      </c>
      <c r="C20" s="22" t="s">
        <v>16</v>
      </c>
      <c r="D20" s="44">
        <v>19</v>
      </c>
      <c r="E20" s="45">
        <v>936</v>
      </c>
      <c r="F20" s="46">
        <v>27</v>
      </c>
      <c r="G20" s="47">
        <v>1296</v>
      </c>
      <c r="H20" s="48">
        <v>20</v>
      </c>
      <c r="I20" s="45">
        <v>954</v>
      </c>
      <c r="J20" s="32">
        <f t="shared" si="0"/>
        <v>26</v>
      </c>
      <c r="K20" s="33">
        <f t="shared" si="1"/>
        <v>1278</v>
      </c>
      <c r="L20" s="34"/>
    </row>
    <row r="21" spans="2:12" ht="20.25" customHeight="1">
      <c r="B21" s="21">
        <v>12</v>
      </c>
      <c r="C21" s="22" t="s">
        <v>17</v>
      </c>
      <c r="D21" s="44">
        <v>0</v>
      </c>
      <c r="E21" s="45">
        <v>0</v>
      </c>
      <c r="F21" s="46">
        <v>0</v>
      </c>
      <c r="G21" s="47">
        <v>0</v>
      </c>
      <c r="H21" s="48">
        <v>0</v>
      </c>
      <c r="I21" s="45">
        <v>0</v>
      </c>
      <c r="J21" s="32">
        <f t="shared" si="0"/>
        <v>0</v>
      </c>
      <c r="K21" s="33">
        <f t="shared" si="1"/>
        <v>0</v>
      </c>
      <c r="L21" s="34"/>
    </row>
    <row r="22" spans="2:12" ht="20.25" customHeight="1">
      <c r="B22" s="21">
        <v>13</v>
      </c>
      <c r="C22" s="22" t="s">
        <v>18</v>
      </c>
      <c r="D22" s="44">
        <v>5946</v>
      </c>
      <c r="E22" s="45">
        <v>931800</v>
      </c>
      <c r="F22" s="46">
        <v>1899</v>
      </c>
      <c r="G22" s="47">
        <v>266540</v>
      </c>
      <c r="H22" s="48">
        <v>1963</v>
      </c>
      <c r="I22" s="45">
        <v>314060</v>
      </c>
      <c r="J22" s="32">
        <f t="shared" si="0"/>
        <v>5882</v>
      </c>
      <c r="K22" s="33">
        <f t="shared" si="1"/>
        <v>884280</v>
      </c>
      <c r="L22" s="34"/>
    </row>
    <row r="23" spans="2:12" s="60" customFormat="1" ht="20.25" customHeight="1">
      <c r="B23" s="61">
        <v>14</v>
      </c>
      <c r="C23" s="62" t="s">
        <v>19</v>
      </c>
      <c r="D23" s="63">
        <v>2780</v>
      </c>
      <c r="E23" s="59">
        <v>1674592</v>
      </c>
      <c r="F23" s="56">
        <v>1381</v>
      </c>
      <c r="G23" s="57">
        <v>1049000</v>
      </c>
      <c r="H23" s="58">
        <v>1443</v>
      </c>
      <c r="I23" s="59">
        <v>1122833</v>
      </c>
      <c r="J23" s="64">
        <f t="shared" si="0"/>
        <v>2718</v>
      </c>
      <c r="K23" s="65">
        <f t="shared" si="1"/>
        <v>1600759</v>
      </c>
      <c r="L23" s="71"/>
    </row>
    <row r="24" spans="2:12" ht="20.25" customHeight="1">
      <c r="B24" s="21">
        <v>15</v>
      </c>
      <c r="C24" s="22" t="s">
        <v>20</v>
      </c>
      <c r="D24" s="44">
        <v>25843</v>
      </c>
      <c r="E24" s="45">
        <v>3488398</v>
      </c>
      <c r="F24" s="46">
        <v>1051</v>
      </c>
      <c r="G24" s="47">
        <v>682472</v>
      </c>
      <c r="H24" s="48">
        <v>1052</v>
      </c>
      <c r="I24" s="45">
        <v>589163</v>
      </c>
      <c r="J24" s="32">
        <f t="shared" si="0"/>
        <v>25842</v>
      </c>
      <c r="K24" s="33">
        <f t="shared" si="1"/>
        <v>3581707</v>
      </c>
      <c r="L24" s="34"/>
    </row>
    <row r="25" spans="2:12" ht="20.25" customHeight="1">
      <c r="B25" s="21">
        <v>16</v>
      </c>
      <c r="C25" s="22" t="s">
        <v>21</v>
      </c>
      <c r="D25" s="44">
        <v>6783</v>
      </c>
      <c r="E25" s="45">
        <v>5235513</v>
      </c>
      <c r="F25" s="46">
        <f>5693+150</f>
        <v>5843</v>
      </c>
      <c r="G25" s="47">
        <f>1249157+770332</f>
        <v>2019489</v>
      </c>
      <c r="H25" s="48">
        <f>4792+11</f>
        <v>4803</v>
      </c>
      <c r="I25" s="45">
        <f>1097021+22252</f>
        <v>1119273</v>
      </c>
      <c r="J25" s="32">
        <f t="shared" si="0"/>
        <v>7823</v>
      </c>
      <c r="K25" s="33">
        <f t="shared" si="1"/>
        <v>6135729</v>
      </c>
      <c r="L25" s="34"/>
    </row>
    <row r="26" spans="2:12" ht="20.25" customHeight="1">
      <c r="B26" s="21">
        <v>17</v>
      </c>
      <c r="C26" s="22" t="s">
        <v>22</v>
      </c>
      <c r="D26" s="44">
        <v>17847</v>
      </c>
      <c r="E26" s="45">
        <v>5820372</v>
      </c>
      <c r="F26" s="46">
        <v>7548</v>
      </c>
      <c r="G26" s="47">
        <v>1665507</v>
      </c>
      <c r="H26" s="48">
        <v>6529</v>
      </c>
      <c r="I26" s="45">
        <v>1283266</v>
      </c>
      <c r="J26" s="32">
        <f t="shared" si="0"/>
        <v>18866</v>
      </c>
      <c r="K26" s="33">
        <f t="shared" si="1"/>
        <v>6202613</v>
      </c>
      <c r="L26" s="34"/>
    </row>
    <row r="27" spans="2:12" ht="20.25" customHeight="1">
      <c r="B27" s="21">
        <v>18</v>
      </c>
      <c r="C27" s="22" t="s">
        <v>51</v>
      </c>
      <c r="D27" s="44">
        <v>2111</v>
      </c>
      <c r="E27" s="45">
        <v>326321</v>
      </c>
      <c r="F27" s="46">
        <v>278</v>
      </c>
      <c r="G27" s="47">
        <v>115029</v>
      </c>
      <c r="H27" s="48">
        <v>303</v>
      </c>
      <c r="I27" s="45">
        <v>106850</v>
      </c>
      <c r="J27" s="32">
        <f t="shared" si="0"/>
        <v>2086</v>
      </c>
      <c r="K27" s="33">
        <f t="shared" si="1"/>
        <v>334500</v>
      </c>
      <c r="L27" s="34"/>
    </row>
    <row r="28" spans="2:12" ht="20.25" customHeight="1">
      <c r="B28" s="21">
        <v>19</v>
      </c>
      <c r="C28" s="22" t="s">
        <v>23</v>
      </c>
      <c r="D28" s="44">
        <v>400</v>
      </c>
      <c r="E28" s="45">
        <v>44000</v>
      </c>
      <c r="F28" s="46">
        <v>1040</v>
      </c>
      <c r="G28" s="47">
        <v>114400</v>
      </c>
      <c r="H28" s="48">
        <v>690</v>
      </c>
      <c r="I28" s="45">
        <v>75900</v>
      </c>
      <c r="J28" s="32">
        <f t="shared" si="0"/>
        <v>750</v>
      </c>
      <c r="K28" s="33">
        <f t="shared" si="1"/>
        <v>82500</v>
      </c>
      <c r="L28" s="34"/>
    </row>
    <row r="29" spans="2:12" s="60" customFormat="1" ht="20.25" customHeight="1">
      <c r="B29" s="61">
        <v>20</v>
      </c>
      <c r="C29" s="62" t="s">
        <v>24</v>
      </c>
      <c r="D29" s="73">
        <f>997+105</f>
        <v>1102</v>
      </c>
      <c r="E29" s="59">
        <f>199400+119114</f>
        <v>318514</v>
      </c>
      <c r="F29" s="74">
        <f>20+25</f>
        <v>45</v>
      </c>
      <c r="G29" s="57">
        <f>4000+38400</f>
        <v>42400</v>
      </c>
      <c r="H29" s="58">
        <f>20+39</f>
        <v>59</v>
      </c>
      <c r="I29" s="59">
        <f>4000+47717</f>
        <v>51717</v>
      </c>
      <c r="J29" s="64">
        <f t="shared" si="0"/>
        <v>1088</v>
      </c>
      <c r="K29" s="65">
        <f t="shared" si="1"/>
        <v>309197</v>
      </c>
      <c r="L29" s="71"/>
    </row>
    <row r="30" spans="2:12" s="60" customFormat="1" ht="20.25" customHeight="1">
      <c r="B30" s="61">
        <v>21</v>
      </c>
      <c r="C30" s="62" t="s">
        <v>25</v>
      </c>
      <c r="D30" s="63">
        <f>1011+413</f>
        <v>1424</v>
      </c>
      <c r="E30" s="59">
        <f>733979+63985</f>
        <v>797964</v>
      </c>
      <c r="F30" s="56">
        <f>299+258</f>
        <v>557</v>
      </c>
      <c r="G30" s="57">
        <f>158643+26316</f>
        <v>184959</v>
      </c>
      <c r="H30" s="58">
        <f>306+297</f>
        <v>603</v>
      </c>
      <c r="I30" s="59">
        <f>159459+39437</f>
        <v>198896</v>
      </c>
      <c r="J30" s="64">
        <f t="shared" si="0"/>
        <v>1378</v>
      </c>
      <c r="K30" s="65">
        <f t="shared" si="1"/>
        <v>784027</v>
      </c>
      <c r="L30" s="71"/>
    </row>
    <row r="31" spans="2:12" s="60" customFormat="1" ht="20.25" customHeight="1">
      <c r="B31" s="61">
        <v>22</v>
      </c>
      <c r="C31" s="62" t="s">
        <v>26</v>
      </c>
      <c r="D31" s="63">
        <v>0</v>
      </c>
      <c r="E31" s="59">
        <v>0</v>
      </c>
      <c r="F31" s="56">
        <v>0</v>
      </c>
      <c r="G31" s="57">
        <v>0</v>
      </c>
      <c r="H31" s="58">
        <v>0</v>
      </c>
      <c r="I31" s="59">
        <v>0</v>
      </c>
      <c r="J31" s="64">
        <f t="shared" si="0"/>
        <v>0</v>
      </c>
      <c r="K31" s="65">
        <f t="shared" si="1"/>
        <v>0</v>
      </c>
      <c r="L31" s="71"/>
    </row>
    <row r="32" spans="2:12" s="60" customFormat="1" ht="20.25" customHeight="1">
      <c r="B32" s="61">
        <v>23</v>
      </c>
      <c r="C32" s="62" t="s">
        <v>27</v>
      </c>
      <c r="D32" s="63">
        <v>20</v>
      </c>
      <c r="E32" s="59">
        <v>16000</v>
      </c>
      <c r="F32" s="56">
        <v>13</v>
      </c>
      <c r="G32" s="57">
        <v>41235</v>
      </c>
      <c r="H32" s="58">
        <v>0</v>
      </c>
      <c r="I32" s="59">
        <v>8000</v>
      </c>
      <c r="J32" s="64">
        <f t="shared" si="0"/>
        <v>33</v>
      </c>
      <c r="K32" s="65">
        <f t="shared" si="1"/>
        <v>49235</v>
      </c>
      <c r="L32" s="71"/>
    </row>
    <row r="33" spans="2:12" s="60" customFormat="1" ht="20.25" customHeight="1">
      <c r="B33" s="61">
        <v>24</v>
      </c>
      <c r="C33" s="62" t="s">
        <v>28</v>
      </c>
      <c r="D33" s="63">
        <v>22947</v>
      </c>
      <c r="E33" s="59">
        <v>7513418</v>
      </c>
      <c r="F33" s="56">
        <v>13919</v>
      </c>
      <c r="G33" s="57">
        <v>4319037</v>
      </c>
      <c r="H33" s="72">
        <v>13018</v>
      </c>
      <c r="I33" s="59">
        <v>3909847</v>
      </c>
      <c r="J33" s="64">
        <f t="shared" si="0"/>
        <v>23848</v>
      </c>
      <c r="K33" s="65">
        <f t="shared" si="1"/>
        <v>7922608</v>
      </c>
      <c r="L33" s="71"/>
    </row>
    <row r="34" spans="2:12" s="60" customFormat="1" ht="32.25" customHeight="1">
      <c r="B34" s="61">
        <v>25</v>
      </c>
      <c r="C34" s="62" t="s">
        <v>29</v>
      </c>
      <c r="D34" s="63">
        <f>85278+308</f>
        <v>85586</v>
      </c>
      <c r="E34" s="59">
        <f>5210291+509202</f>
        <v>5719493</v>
      </c>
      <c r="F34" s="56">
        <f>34988+178</f>
        <v>35166</v>
      </c>
      <c r="G34" s="57">
        <f>4854740+242000</f>
        <v>5096740</v>
      </c>
      <c r="H34" s="58">
        <f>32187+140</f>
        <v>32327</v>
      </c>
      <c r="I34" s="59">
        <f>4633810+213700</f>
        <v>4847510</v>
      </c>
      <c r="J34" s="64">
        <f t="shared" si="0"/>
        <v>88425</v>
      </c>
      <c r="K34" s="65">
        <f t="shared" si="1"/>
        <v>5968723</v>
      </c>
      <c r="L34" s="71"/>
    </row>
    <row r="35" spans="2:12" s="60" customFormat="1" ht="20.25" customHeight="1">
      <c r="B35" s="61">
        <v>26</v>
      </c>
      <c r="C35" s="62" t="s">
        <v>30</v>
      </c>
      <c r="D35" s="63">
        <v>4706</v>
      </c>
      <c r="E35" s="59">
        <v>3652933</v>
      </c>
      <c r="F35" s="56">
        <v>338</v>
      </c>
      <c r="G35" s="57">
        <v>37427</v>
      </c>
      <c r="H35" s="58">
        <v>565</v>
      </c>
      <c r="I35" s="59">
        <v>112428</v>
      </c>
      <c r="J35" s="64">
        <f t="shared" si="0"/>
        <v>4479</v>
      </c>
      <c r="K35" s="65">
        <f t="shared" si="1"/>
        <v>3577932</v>
      </c>
      <c r="L35" s="71"/>
    </row>
    <row r="36" spans="2:12" s="60" customFormat="1" ht="20.25" customHeight="1">
      <c r="B36" s="61">
        <v>27</v>
      </c>
      <c r="C36" s="62" t="s">
        <v>31</v>
      </c>
      <c r="D36" s="63">
        <v>331</v>
      </c>
      <c r="E36" s="59">
        <v>67680</v>
      </c>
      <c r="F36" s="56">
        <v>351</v>
      </c>
      <c r="G36" s="57">
        <v>70120</v>
      </c>
      <c r="H36" s="58">
        <v>348</v>
      </c>
      <c r="I36" s="59">
        <v>70240</v>
      </c>
      <c r="J36" s="64">
        <f t="shared" si="0"/>
        <v>334</v>
      </c>
      <c r="K36" s="65">
        <f t="shared" si="1"/>
        <v>67560</v>
      </c>
      <c r="L36" s="71"/>
    </row>
    <row r="37" spans="2:12" s="60" customFormat="1" ht="20.25" customHeight="1">
      <c r="B37" s="61">
        <v>28</v>
      </c>
      <c r="C37" s="62" t="s">
        <v>33</v>
      </c>
      <c r="D37" s="63">
        <v>0</v>
      </c>
      <c r="E37" s="59">
        <v>0</v>
      </c>
      <c r="F37" s="56">
        <v>0</v>
      </c>
      <c r="G37" s="57">
        <v>0</v>
      </c>
      <c r="H37" s="58">
        <v>0</v>
      </c>
      <c r="I37" s="59">
        <v>0</v>
      </c>
      <c r="J37" s="64">
        <f t="shared" si="0"/>
        <v>0</v>
      </c>
      <c r="K37" s="65">
        <f t="shared" si="1"/>
        <v>0</v>
      </c>
      <c r="L37" s="71"/>
    </row>
    <row r="38" spans="2:12" s="60" customFormat="1" ht="20.25" customHeight="1">
      <c r="B38" s="61">
        <v>29</v>
      </c>
      <c r="C38" s="62" t="s">
        <v>32</v>
      </c>
      <c r="D38" s="63">
        <v>0</v>
      </c>
      <c r="E38" s="59">
        <v>0</v>
      </c>
      <c r="F38" s="56">
        <v>0</v>
      </c>
      <c r="G38" s="57">
        <v>0</v>
      </c>
      <c r="H38" s="58">
        <v>0</v>
      </c>
      <c r="I38" s="59">
        <v>0</v>
      </c>
      <c r="J38" s="64">
        <f t="shared" si="0"/>
        <v>0</v>
      </c>
      <c r="K38" s="65">
        <f t="shared" si="1"/>
        <v>0</v>
      </c>
      <c r="L38" s="71"/>
    </row>
    <row r="39" spans="2:12" s="60" customFormat="1" ht="20.25" customHeight="1">
      <c r="B39" s="61">
        <v>30</v>
      </c>
      <c r="C39" s="62" t="s">
        <v>34</v>
      </c>
      <c r="D39" s="63">
        <v>1244</v>
      </c>
      <c r="E39" s="59">
        <v>1368400</v>
      </c>
      <c r="F39" s="56">
        <v>100</v>
      </c>
      <c r="G39" s="57">
        <v>110000</v>
      </c>
      <c r="H39" s="58">
        <v>120</v>
      </c>
      <c r="I39" s="59">
        <v>132000</v>
      </c>
      <c r="J39" s="64">
        <f t="shared" si="0"/>
        <v>1224</v>
      </c>
      <c r="K39" s="65">
        <f t="shared" si="1"/>
        <v>1346400</v>
      </c>
      <c r="L39" s="71"/>
    </row>
    <row r="40" spans="2:12" s="60" customFormat="1" ht="20.25" customHeight="1">
      <c r="B40" s="61">
        <v>31</v>
      </c>
      <c r="C40" s="62" t="s">
        <v>35</v>
      </c>
      <c r="D40" s="63">
        <v>0</v>
      </c>
      <c r="E40" s="59">
        <v>0</v>
      </c>
      <c r="F40" s="56">
        <v>0</v>
      </c>
      <c r="G40" s="57">
        <v>0</v>
      </c>
      <c r="H40" s="58">
        <v>0</v>
      </c>
      <c r="I40" s="59">
        <v>0</v>
      </c>
      <c r="J40" s="64">
        <f t="shared" si="0"/>
        <v>0</v>
      </c>
      <c r="K40" s="65">
        <f t="shared" si="1"/>
        <v>0</v>
      </c>
      <c r="L40" s="71"/>
    </row>
    <row r="41" spans="2:12" s="60" customFormat="1" ht="20.25" customHeight="1">
      <c r="B41" s="61">
        <v>32</v>
      </c>
      <c r="C41" s="62" t="s">
        <v>36</v>
      </c>
      <c r="D41" s="63">
        <v>0</v>
      </c>
      <c r="E41" s="59">
        <v>0</v>
      </c>
      <c r="F41" s="56">
        <v>0</v>
      </c>
      <c r="G41" s="57">
        <v>0</v>
      </c>
      <c r="H41" s="58">
        <v>0</v>
      </c>
      <c r="I41" s="59">
        <v>0</v>
      </c>
      <c r="J41" s="64">
        <f t="shared" si="0"/>
        <v>0</v>
      </c>
      <c r="K41" s="65">
        <f t="shared" si="1"/>
        <v>0</v>
      </c>
      <c r="L41" s="71"/>
    </row>
    <row r="42" spans="2:12" s="60" customFormat="1" ht="20.25" customHeight="1">
      <c r="B42" s="61">
        <v>33</v>
      </c>
      <c r="C42" s="62" t="s">
        <v>37</v>
      </c>
      <c r="D42" s="63">
        <v>29508</v>
      </c>
      <c r="E42" s="59">
        <v>3767026</v>
      </c>
      <c r="F42" s="56">
        <v>12609</v>
      </c>
      <c r="G42" s="57">
        <v>2629567</v>
      </c>
      <c r="H42" s="58">
        <v>14765</v>
      </c>
      <c r="I42" s="59">
        <v>3817991</v>
      </c>
      <c r="J42" s="64">
        <f t="shared" si="0"/>
        <v>27352</v>
      </c>
      <c r="K42" s="65">
        <f t="shared" si="1"/>
        <v>2578602</v>
      </c>
      <c r="L42" s="71"/>
    </row>
    <row r="43" spans="2:12" s="60" customFormat="1" ht="33" customHeight="1">
      <c r="B43" s="61">
        <v>34</v>
      </c>
      <c r="C43" s="62" t="s">
        <v>38</v>
      </c>
      <c r="D43" s="63">
        <v>7868</v>
      </c>
      <c r="E43" s="59">
        <v>9476138</v>
      </c>
      <c r="F43" s="56">
        <v>6384</v>
      </c>
      <c r="G43" s="57">
        <v>6873757</v>
      </c>
      <c r="H43" s="58">
        <v>6577</v>
      </c>
      <c r="I43" s="59">
        <v>8259956</v>
      </c>
      <c r="J43" s="64">
        <f t="shared" si="0"/>
        <v>7675</v>
      </c>
      <c r="K43" s="65">
        <f t="shared" si="1"/>
        <v>8089939</v>
      </c>
      <c r="L43" s="71"/>
    </row>
    <row r="44" spans="2:12" s="60" customFormat="1" ht="20.25" customHeight="1">
      <c r="B44" s="61">
        <v>35</v>
      </c>
      <c r="C44" s="62" t="s">
        <v>39</v>
      </c>
      <c r="D44" s="63">
        <v>23</v>
      </c>
      <c r="E44" s="59">
        <v>119430</v>
      </c>
      <c r="F44" s="56">
        <v>2</v>
      </c>
      <c r="G44" s="57">
        <v>1740</v>
      </c>
      <c r="H44" s="58">
        <v>5</v>
      </c>
      <c r="I44" s="59">
        <v>6090</v>
      </c>
      <c r="J44" s="64">
        <f t="shared" si="0"/>
        <v>20</v>
      </c>
      <c r="K44" s="65">
        <f t="shared" si="1"/>
        <v>115080</v>
      </c>
      <c r="L44" s="71"/>
    </row>
    <row r="45" spans="2:12" s="60" customFormat="1" ht="20.25" customHeight="1">
      <c r="B45" s="61">
        <v>36</v>
      </c>
      <c r="C45" s="62" t="s">
        <v>40</v>
      </c>
      <c r="D45" s="63">
        <v>3634</v>
      </c>
      <c r="E45" s="59">
        <v>4653997</v>
      </c>
      <c r="F45" s="56">
        <v>1390</v>
      </c>
      <c r="G45" s="57">
        <v>2552977</v>
      </c>
      <c r="H45" s="58">
        <v>879</v>
      </c>
      <c r="I45" s="59">
        <v>3761422</v>
      </c>
      <c r="J45" s="64">
        <f t="shared" si="0"/>
        <v>4145</v>
      </c>
      <c r="K45" s="65">
        <f t="shared" si="1"/>
        <v>3445552</v>
      </c>
      <c r="L45" s="71"/>
    </row>
    <row r="46" spans="2:12" ht="20.25" customHeight="1">
      <c r="B46" s="21">
        <v>37</v>
      </c>
      <c r="C46" s="22" t="s">
        <v>41</v>
      </c>
      <c r="D46" s="44">
        <v>9796</v>
      </c>
      <c r="E46" s="45">
        <v>2920605</v>
      </c>
      <c r="F46" s="46">
        <v>2650</v>
      </c>
      <c r="G46" s="47">
        <v>734215</v>
      </c>
      <c r="H46" s="48">
        <v>2232</v>
      </c>
      <c r="I46" s="45">
        <v>439936</v>
      </c>
      <c r="J46" s="32">
        <f t="shared" si="0"/>
        <v>10214</v>
      </c>
      <c r="K46" s="33">
        <f t="shared" si="1"/>
        <v>3214884</v>
      </c>
      <c r="L46" s="34"/>
    </row>
    <row r="47" spans="2:12" ht="32.25" customHeight="1">
      <c r="B47" s="21">
        <v>38</v>
      </c>
      <c r="C47" s="22" t="s">
        <v>42</v>
      </c>
      <c r="D47" s="44">
        <v>2830</v>
      </c>
      <c r="E47" s="45">
        <v>1821544</v>
      </c>
      <c r="F47" s="46">
        <v>699</v>
      </c>
      <c r="G47" s="47">
        <v>392300</v>
      </c>
      <c r="H47" s="48">
        <v>658</v>
      </c>
      <c r="I47" s="45">
        <v>334681</v>
      </c>
      <c r="J47" s="32">
        <f t="shared" si="0"/>
        <v>2871</v>
      </c>
      <c r="K47" s="33">
        <f t="shared" si="1"/>
        <v>1879163</v>
      </c>
      <c r="L47" s="34"/>
    </row>
    <row r="48" spans="2:12" ht="20.25" customHeight="1">
      <c r="B48" s="21">
        <v>39</v>
      </c>
      <c r="C48" s="22" t="s">
        <v>43</v>
      </c>
      <c r="D48" s="44">
        <v>0</v>
      </c>
      <c r="E48" s="45">
        <v>0</v>
      </c>
      <c r="F48" s="46">
        <v>0</v>
      </c>
      <c r="G48" s="47">
        <v>0</v>
      </c>
      <c r="H48" s="48">
        <v>0</v>
      </c>
      <c r="I48" s="45">
        <v>0</v>
      </c>
      <c r="J48" s="32">
        <f t="shared" si="0"/>
        <v>0</v>
      </c>
      <c r="K48" s="33">
        <f t="shared" si="1"/>
        <v>0</v>
      </c>
      <c r="L48" s="34"/>
    </row>
    <row r="49" spans="2:12" ht="20.25" customHeight="1" thickBot="1">
      <c r="B49" s="23">
        <v>40</v>
      </c>
      <c r="C49" s="24" t="s">
        <v>50</v>
      </c>
      <c r="D49" s="49">
        <v>7291</v>
      </c>
      <c r="E49" s="50">
        <v>1884197</v>
      </c>
      <c r="F49" s="51">
        <v>4363</v>
      </c>
      <c r="G49" s="52">
        <v>1369026</v>
      </c>
      <c r="H49" s="53">
        <v>4265</v>
      </c>
      <c r="I49" s="50">
        <v>1037264</v>
      </c>
      <c r="J49" s="35">
        <f>D49+F49-H49</f>
        <v>7389</v>
      </c>
      <c r="K49" s="36">
        <f>E49+G49-I49</f>
        <v>2215959</v>
      </c>
      <c r="L49" s="37"/>
    </row>
    <row r="50" spans="2:12" ht="21" customHeight="1" thickBot="1" thickTop="1">
      <c r="B50" s="140" t="s">
        <v>46</v>
      </c>
      <c r="C50" s="141"/>
      <c r="D50" s="67">
        <f aca="true" t="shared" si="2" ref="D50:I50">SUM(D10:D49)</f>
        <v>272809</v>
      </c>
      <c r="E50" s="66">
        <f t="shared" si="2"/>
        <v>70017315</v>
      </c>
      <c r="F50" s="68">
        <f t="shared" si="2"/>
        <v>99053</v>
      </c>
      <c r="G50" s="69">
        <f t="shared" si="2"/>
        <v>30483674</v>
      </c>
      <c r="H50" s="68">
        <f t="shared" si="2"/>
        <v>96233</v>
      </c>
      <c r="I50" s="69">
        <f t="shared" si="2"/>
        <v>32138633</v>
      </c>
      <c r="J50" s="70">
        <f t="shared" si="0"/>
        <v>275629</v>
      </c>
      <c r="K50" s="69">
        <f t="shared" si="1"/>
        <v>68362356</v>
      </c>
      <c r="L50" s="38"/>
    </row>
    <row r="51" spans="10:11" ht="13.5">
      <c r="J51" s="78"/>
      <c r="K51" s="78"/>
    </row>
    <row r="52" spans="10:11" ht="13.5">
      <c r="J52" s="79"/>
      <c r="K52" s="79"/>
    </row>
    <row r="53" spans="10:11" ht="13.5">
      <c r="J53" s="77"/>
      <c r="K53" s="77"/>
    </row>
    <row r="55" spans="4:11" ht="13.5">
      <c r="D55" s="75"/>
      <c r="E55" s="75"/>
      <c r="F55" s="75"/>
      <c r="G55" s="75"/>
      <c r="H55" s="75"/>
      <c r="I55" s="75"/>
      <c r="J55" s="76"/>
      <c r="K55" s="76"/>
    </row>
    <row r="56" spans="4:11" ht="13.5">
      <c r="D56" s="75"/>
      <c r="E56" s="75"/>
      <c r="F56" s="75"/>
      <c r="G56" s="75"/>
      <c r="H56" s="75"/>
      <c r="I56" s="75"/>
      <c r="J56" s="76"/>
      <c r="K56" s="76"/>
    </row>
    <row r="57" spans="4:11" ht="13.5">
      <c r="D57" s="80"/>
      <c r="E57" s="80"/>
      <c r="F57" s="80"/>
      <c r="G57" s="80"/>
      <c r="H57" s="80"/>
      <c r="I57" s="80"/>
      <c r="J57" s="80"/>
      <c r="K57" s="80"/>
    </row>
    <row r="58" spans="4:11" ht="13.5">
      <c r="D58" s="80"/>
      <c r="E58" s="80"/>
      <c r="F58" s="80"/>
      <c r="G58" s="80"/>
      <c r="H58" s="80"/>
      <c r="I58" s="80"/>
      <c r="J58" s="80"/>
      <c r="K58" s="80"/>
    </row>
    <row r="59" spans="4:11" ht="13.5">
      <c r="D59" s="80"/>
      <c r="E59" s="80"/>
      <c r="F59" s="80"/>
      <c r="G59" s="80"/>
      <c r="H59" s="80"/>
      <c r="I59" s="80"/>
      <c r="J59" s="81"/>
      <c r="K59" s="81"/>
    </row>
    <row r="60" spans="4:11" ht="13.5">
      <c r="D60" s="80"/>
      <c r="E60" s="80"/>
      <c r="F60" s="80"/>
      <c r="G60" s="80"/>
      <c r="H60" s="80"/>
      <c r="I60" s="80"/>
      <c r="J60" s="81"/>
      <c r="K60" s="81"/>
    </row>
    <row r="61" spans="4:11" ht="13.5">
      <c r="D61" s="80"/>
      <c r="E61" s="80"/>
      <c r="F61" s="80"/>
      <c r="G61" s="80"/>
      <c r="H61" s="80"/>
      <c r="I61" s="80"/>
      <c r="J61" s="80"/>
      <c r="K61" s="80"/>
    </row>
    <row r="62" spans="4:11" ht="13.5">
      <c r="D62" s="75"/>
      <c r="E62" s="75"/>
      <c r="F62" s="75"/>
      <c r="G62" s="75"/>
      <c r="H62" s="75"/>
      <c r="I62" s="75"/>
      <c r="J62" s="75"/>
      <c r="K62" s="75"/>
    </row>
    <row r="63" spans="4:11" ht="13.5">
      <c r="D63" s="75"/>
      <c r="E63" s="75"/>
      <c r="F63" s="75"/>
      <c r="G63" s="75"/>
      <c r="H63" s="75"/>
      <c r="I63" s="75"/>
      <c r="J63" s="76"/>
      <c r="K63" s="76"/>
    </row>
    <row r="64" spans="4:11" ht="13.5">
      <c r="D64" s="75"/>
      <c r="E64" s="75"/>
      <c r="F64" s="75"/>
      <c r="G64" s="75"/>
      <c r="H64" s="75"/>
      <c r="I64" s="75"/>
      <c r="J64" s="76"/>
      <c r="K64" s="76"/>
    </row>
    <row r="65" spans="4:11" ht="13.5">
      <c r="D65" s="75"/>
      <c r="E65" s="75"/>
      <c r="F65" s="75"/>
      <c r="G65" s="75"/>
      <c r="H65" s="75"/>
      <c r="I65" s="75"/>
      <c r="J65" s="75"/>
      <c r="K65" s="75"/>
    </row>
  </sheetData>
  <sheetProtection/>
  <mergeCells count="9">
    <mergeCell ref="B50:C50"/>
    <mergeCell ref="B2:L2"/>
    <mergeCell ref="D7:E7"/>
    <mergeCell ref="F7:G7"/>
    <mergeCell ref="H7:I7"/>
    <mergeCell ref="J7:K7"/>
    <mergeCell ref="J4:L4"/>
    <mergeCell ref="J5:L5"/>
    <mergeCell ref="L7:L9"/>
  </mergeCells>
  <printOptions horizontalCentered="1"/>
  <pageMargins left="0.3937007874015748" right="0.3937007874015748" top="0.5905511811023623" bottom="0.3937007874015748" header="0" footer="0"/>
  <pageSetup fitToHeight="1" fitToWidth="1" horizontalDpi="300" verticalDpi="300" orientation="portrait" paperSize="9" scale="8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65"/>
  <sheetViews>
    <sheetView tabSelected="1" zoomScalePageLayoutView="0" workbookViewId="0" topLeftCell="A1">
      <pane xSplit="5" ySplit="9" topLeftCell="F10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J34" sqref="J34"/>
    </sheetView>
  </sheetViews>
  <sheetFormatPr defaultColWidth="9.00390625" defaultRowHeight="13.5"/>
  <cols>
    <col min="1" max="1" width="4.375" style="1" customWidth="1"/>
    <col min="2" max="2" width="3.375" style="1" customWidth="1"/>
    <col min="3" max="3" width="15.125" style="1" customWidth="1"/>
    <col min="4" max="4" width="10.00390625" style="1" customWidth="1"/>
    <col min="5" max="5" width="11.25390625" style="1" customWidth="1"/>
    <col min="6" max="6" width="10.00390625" style="1" customWidth="1"/>
    <col min="7" max="7" width="11.25390625" style="1" customWidth="1"/>
    <col min="8" max="8" width="10.00390625" style="1" customWidth="1"/>
    <col min="9" max="9" width="11.25390625" style="1" customWidth="1"/>
    <col min="10" max="10" width="10.00390625" style="1" customWidth="1"/>
    <col min="11" max="11" width="11.25390625" style="1" customWidth="1"/>
    <col min="12" max="12" width="9.375" style="1" customWidth="1"/>
    <col min="13" max="13" width="4.00390625" style="1" customWidth="1"/>
    <col min="14" max="16384" width="9.00390625" style="1" customWidth="1"/>
  </cols>
  <sheetData>
    <row r="2" spans="2:12" ht="18.75" customHeight="1">
      <c r="B2" s="142" t="s">
        <v>47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2:12" ht="15" customHeight="1">
      <c r="B3" s="28" t="str">
        <f>'１月'!$B$3</f>
        <v>平成２８年</v>
      </c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2:12" ht="18" customHeight="1">
      <c r="B4" s="27"/>
      <c r="C4" s="54" t="s">
        <v>71</v>
      </c>
      <c r="E4" s="28" t="s">
        <v>54</v>
      </c>
      <c r="I4" s="121" t="s">
        <v>52</v>
      </c>
      <c r="J4" s="152" t="s">
        <v>57</v>
      </c>
      <c r="K4" s="152"/>
      <c r="L4" s="152"/>
    </row>
    <row r="5" spans="3:12" ht="18" customHeight="1">
      <c r="C5" s="1" t="s">
        <v>59</v>
      </c>
      <c r="I5" s="2" t="s">
        <v>53</v>
      </c>
      <c r="J5" s="148"/>
      <c r="K5" s="148"/>
      <c r="L5" s="148"/>
    </row>
    <row r="6" spans="5:12" ht="18" customHeight="1" thickBot="1">
      <c r="E6" s="1" t="s">
        <v>58</v>
      </c>
      <c r="G6" s="138"/>
      <c r="I6" s="2"/>
      <c r="J6" s="55"/>
      <c r="K6" s="55"/>
      <c r="L6" s="55"/>
    </row>
    <row r="7" spans="2:12" ht="18.75" customHeight="1">
      <c r="B7" s="3"/>
      <c r="C7" s="4" t="s">
        <v>48</v>
      </c>
      <c r="D7" s="143" t="s">
        <v>0</v>
      </c>
      <c r="E7" s="144"/>
      <c r="F7" s="145" t="s">
        <v>1</v>
      </c>
      <c r="G7" s="146"/>
      <c r="H7" s="144" t="s">
        <v>2</v>
      </c>
      <c r="I7" s="144"/>
      <c r="J7" s="145" t="s">
        <v>3</v>
      </c>
      <c r="K7" s="146"/>
      <c r="L7" s="149" t="s">
        <v>4</v>
      </c>
    </row>
    <row r="8" spans="2:12" ht="18.75" customHeight="1">
      <c r="B8" s="5"/>
      <c r="C8" s="6"/>
      <c r="D8" s="7" t="s">
        <v>44</v>
      </c>
      <c r="E8" s="8" t="s">
        <v>45</v>
      </c>
      <c r="F8" s="9" t="s">
        <v>44</v>
      </c>
      <c r="G8" s="10" t="s">
        <v>45</v>
      </c>
      <c r="H8" s="11" t="s">
        <v>44</v>
      </c>
      <c r="I8" s="8" t="s">
        <v>45</v>
      </c>
      <c r="J8" s="9" t="s">
        <v>44</v>
      </c>
      <c r="K8" s="10" t="s">
        <v>45</v>
      </c>
      <c r="L8" s="150"/>
    </row>
    <row r="9" spans="2:12" ht="18.75" customHeight="1" thickBot="1">
      <c r="B9" s="12" t="s">
        <v>49</v>
      </c>
      <c r="C9" s="13"/>
      <c r="D9" s="14" t="s">
        <v>55</v>
      </c>
      <c r="E9" s="15" t="s">
        <v>5</v>
      </c>
      <c r="F9" s="16" t="s">
        <v>55</v>
      </c>
      <c r="G9" s="17" t="s">
        <v>5</v>
      </c>
      <c r="H9" s="18" t="s">
        <v>55</v>
      </c>
      <c r="I9" s="15" t="s">
        <v>5</v>
      </c>
      <c r="J9" s="16" t="s">
        <v>55</v>
      </c>
      <c r="K9" s="17" t="s">
        <v>5</v>
      </c>
      <c r="L9" s="151"/>
    </row>
    <row r="10" spans="2:14" ht="20.25" customHeight="1" thickTop="1">
      <c r="B10" s="19">
        <v>1</v>
      </c>
      <c r="C10" s="20" t="s">
        <v>6</v>
      </c>
      <c r="D10" s="120">
        <f>'９月'!J10</f>
        <v>35660</v>
      </c>
      <c r="E10" s="116">
        <f>'９月'!K10</f>
        <v>9287659</v>
      </c>
      <c r="F10" s="119">
        <v>3898</v>
      </c>
      <c r="G10" s="118">
        <v>777228</v>
      </c>
      <c r="H10" s="117">
        <v>4202</v>
      </c>
      <c r="I10" s="116">
        <v>813523</v>
      </c>
      <c r="J10" s="115">
        <f aca="true" t="shared" si="0" ref="J10:K50">D10+F10-H10</f>
        <v>35356</v>
      </c>
      <c r="K10" s="114">
        <f t="shared" si="0"/>
        <v>9251364</v>
      </c>
      <c r="L10" s="113"/>
      <c r="N10" s="60"/>
    </row>
    <row r="11" spans="2:12" ht="20.25" customHeight="1">
      <c r="B11" s="21">
        <v>2</v>
      </c>
      <c r="C11" s="22" t="s">
        <v>7</v>
      </c>
      <c r="D11" s="120">
        <f>'９月'!J11</f>
        <v>428</v>
      </c>
      <c r="E11" s="116">
        <f>'９月'!K11</f>
        <v>17746</v>
      </c>
      <c r="F11" s="105">
        <v>800</v>
      </c>
      <c r="G11" s="104">
        <v>120000</v>
      </c>
      <c r="H11" s="103">
        <v>0</v>
      </c>
      <c r="I11" s="102">
        <v>0</v>
      </c>
      <c r="J11" s="101">
        <f t="shared" si="0"/>
        <v>1228</v>
      </c>
      <c r="K11" s="100">
        <f t="shared" si="0"/>
        <v>137746</v>
      </c>
      <c r="L11" s="99"/>
    </row>
    <row r="12" spans="2:12" ht="20.25" customHeight="1">
      <c r="B12" s="21">
        <v>3</v>
      </c>
      <c r="C12" s="22" t="s">
        <v>8</v>
      </c>
      <c r="D12" s="120">
        <f>'９月'!J12</f>
        <v>0</v>
      </c>
      <c r="E12" s="116">
        <f>'９月'!K12</f>
        <v>0</v>
      </c>
      <c r="F12" s="105">
        <v>0</v>
      </c>
      <c r="G12" s="104">
        <v>0</v>
      </c>
      <c r="H12" s="103">
        <v>0</v>
      </c>
      <c r="I12" s="102">
        <v>0</v>
      </c>
      <c r="J12" s="101">
        <f t="shared" si="0"/>
        <v>0</v>
      </c>
      <c r="K12" s="100">
        <f t="shared" si="0"/>
        <v>0</v>
      </c>
      <c r="L12" s="99"/>
    </row>
    <row r="13" spans="2:12" ht="20.25" customHeight="1">
      <c r="B13" s="21">
        <v>4</v>
      </c>
      <c r="C13" s="22" t="s">
        <v>9</v>
      </c>
      <c r="D13" s="120">
        <f>'９月'!J13</f>
        <v>1059</v>
      </c>
      <c r="E13" s="116">
        <f>'９月'!K13</f>
        <v>139865</v>
      </c>
      <c r="F13" s="105">
        <v>165</v>
      </c>
      <c r="G13" s="104">
        <v>23700</v>
      </c>
      <c r="H13" s="103">
        <v>258</v>
      </c>
      <c r="I13" s="102">
        <v>36753</v>
      </c>
      <c r="J13" s="101">
        <f t="shared" si="0"/>
        <v>966</v>
      </c>
      <c r="K13" s="100">
        <f t="shared" si="0"/>
        <v>126812</v>
      </c>
      <c r="L13" s="99"/>
    </row>
    <row r="14" spans="2:12" ht="20.25" customHeight="1">
      <c r="B14" s="21">
        <v>5</v>
      </c>
      <c r="C14" s="22" t="s">
        <v>10</v>
      </c>
      <c r="D14" s="120">
        <f>'９月'!J14</f>
        <v>0</v>
      </c>
      <c r="E14" s="116">
        <f>'９月'!K14</f>
        <v>0</v>
      </c>
      <c r="F14" s="105">
        <v>0</v>
      </c>
      <c r="G14" s="104">
        <v>0</v>
      </c>
      <c r="H14" s="103">
        <v>0</v>
      </c>
      <c r="I14" s="102">
        <v>0</v>
      </c>
      <c r="J14" s="101">
        <f t="shared" si="0"/>
        <v>0</v>
      </c>
      <c r="K14" s="100">
        <f t="shared" si="0"/>
        <v>0</v>
      </c>
      <c r="L14" s="99"/>
    </row>
    <row r="15" spans="2:12" ht="20.25" customHeight="1">
      <c r="B15" s="21">
        <v>6</v>
      </c>
      <c r="C15" s="22" t="s">
        <v>11</v>
      </c>
      <c r="D15" s="120">
        <f>'９月'!J15</f>
        <v>0</v>
      </c>
      <c r="E15" s="116">
        <f>'９月'!K15</f>
        <v>0</v>
      </c>
      <c r="F15" s="105">
        <v>0</v>
      </c>
      <c r="G15" s="104">
        <v>0</v>
      </c>
      <c r="H15" s="103">
        <v>0</v>
      </c>
      <c r="I15" s="102">
        <v>0</v>
      </c>
      <c r="J15" s="101">
        <f t="shared" si="0"/>
        <v>0</v>
      </c>
      <c r="K15" s="100">
        <f t="shared" si="0"/>
        <v>0</v>
      </c>
      <c r="L15" s="99"/>
    </row>
    <row r="16" spans="2:12" ht="20.25" customHeight="1">
      <c r="B16" s="21">
        <v>7</v>
      </c>
      <c r="C16" s="22" t="s">
        <v>12</v>
      </c>
      <c r="D16" s="120">
        <f>'９月'!J16</f>
        <v>0</v>
      </c>
      <c r="E16" s="116">
        <f>'９月'!K16</f>
        <v>0</v>
      </c>
      <c r="F16" s="105">
        <v>0</v>
      </c>
      <c r="G16" s="104">
        <v>0</v>
      </c>
      <c r="H16" s="103">
        <v>0</v>
      </c>
      <c r="I16" s="102">
        <v>0</v>
      </c>
      <c r="J16" s="101">
        <f t="shared" si="0"/>
        <v>0</v>
      </c>
      <c r="K16" s="100">
        <f t="shared" si="0"/>
        <v>0</v>
      </c>
      <c r="L16" s="99"/>
    </row>
    <row r="17" spans="2:12" ht="20.25" customHeight="1">
      <c r="B17" s="21">
        <v>8</v>
      </c>
      <c r="C17" s="22" t="s">
        <v>13</v>
      </c>
      <c r="D17" s="120">
        <f>'９月'!J17</f>
        <v>0</v>
      </c>
      <c r="E17" s="116">
        <f>'９月'!K17</f>
        <v>0</v>
      </c>
      <c r="F17" s="105">
        <v>0</v>
      </c>
      <c r="G17" s="104">
        <v>0</v>
      </c>
      <c r="H17" s="103">
        <v>0</v>
      </c>
      <c r="I17" s="102">
        <v>0</v>
      </c>
      <c r="J17" s="101">
        <f t="shared" si="0"/>
        <v>0</v>
      </c>
      <c r="K17" s="100">
        <f t="shared" si="0"/>
        <v>0</v>
      </c>
      <c r="L17" s="99"/>
    </row>
    <row r="18" spans="2:12" ht="20.25" customHeight="1">
      <c r="B18" s="21">
        <v>9</v>
      </c>
      <c r="C18" s="22" t="s">
        <v>14</v>
      </c>
      <c r="D18" s="120">
        <f>'９月'!J18</f>
        <v>57</v>
      </c>
      <c r="E18" s="116">
        <f>'９月'!K18</f>
        <v>6525</v>
      </c>
      <c r="F18" s="105">
        <v>60</v>
      </c>
      <c r="G18" s="104">
        <v>5700</v>
      </c>
      <c r="H18" s="103">
        <v>63</v>
      </c>
      <c r="I18" s="102">
        <v>6100</v>
      </c>
      <c r="J18" s="101">
        <f t="shared" si="0"/>
        <v>54</v>
      </c>
      <c r="K18" s="100">
        <f t="shared" si="0"/>
        <v>6125</v>
      </c>
      <c r="L18" s="99"/>
    </row>
    <row r="19" spans="2:12" ht="20.25" customHeight="1">
      <c r="B19" s="21">
        <v>10</v>
      </c>
      <c r="C19" s="22" t="s">
        <v>15</v>
      </c>
      <c r="D19" s="120">
        <f>'９月'!J19</f>
        <v>0</v>
      </c>
      <c r="E19" s="116">
        <f>'９月'!K19</f>
        <v>0</v>
      </c>
      <c r="F19" s="105">
        <v>0</v>
      </c>
      <c r="G19" s="104">
        <v>0</v>
      </c>
      <c r="H19" s="103">
        <v>0</v>
      </c>
      <c r="I19" s="102">
        <v>0</v>
      </c>
      <c r="J19" s="101">
        <f t="shared" si="0"/>
        <v>0</v>
      </c>
      <c r="K19" s="100">
        <f t="shared" si="0"/>
        <v>0</v>
      </c>
      <c r="L19" s="99"/>
    </row>
    <row r="20" spans="2:12" ht="20.25" customHeight="1">
      <c r="B20" s="21">
        <v>11</v>
      </c>
      <c r="C20" s="22" t="s">
        <v>16</v>
      </c>
      <c r="D20" s="120">
        <f>'９月'!J20</f>
        <v>0</v>
      </c>
      <c r="E20" s="116">
        <f>'９月'!K20</f>
        <v>0</v>
      </c>
      <c r="F20" s="105">
        <v>0</v>
      </c>
      <c r="G20" s="104">
        <v>0</v>
      </c>
      <c r="H20" s="103">
        <v>0</v>
      </c>
      <c r="I20" s="102">
        <v>0</v>
      </c>
      <c r="J20" s="101">
        <f t="shared" si="0"/>
        <v>0</v>
      </c>
      <c r="K20" s="100">
        <f t="shared" si="0"/>
        <v>0</v>
      </c>
      <c r="L20" s="99"/>
    </row>
    <row r="21" spans="2:12" ht="20.25" customHeight="1">
      <c r="B21" s="21">
        <v>12</v>
      </c>
      <c r="C21" s="22" t="s">
        <v>17</v>
      </c>
      <c r="D21" s="120">
        <f>'９月'!J21</f>
        <v>0</v>
      </c>
      <c r="E21" s="116">
        <f>'９月'!K21</f>
        <v>0</v>
      </c>
      <c r="F21" s="105">
        <v>0</v>
      </c>
      <c r="G21" s="104">
        <v>0</v>
      </c>
      <c r="H21" s="103">
        <v>0</v>
      </c>
      <c r="I21" s="102">
        <v>0</v>
      </c>
      <c r="J21" s="101">
        <f t="shared" si="0"/>
        <v>0</v>
      </c>
      <c r="K21" s="100">
        <f t="shared" si="0"/>
        <v>0</v>
      </c>
      <c r="L21" s="99"/>
    </row>
    <row r="22" spans="2:12" ht="20.25" customHeight="1">
      <c r="B22" s="21">
        <v>13</v>
      </c>
      <c r="C22" s="22" t="s">
        <v>18</v>
      </c>
      <c r="D22" s="120">
        <f>'９月'!J22</f>
        <v>7301</v>
      </c>
      <c r="E22" s="116">
        <f>'９月'!K22</f>
        <v>969400</v>
      </c>
      <c r="F22" s="105">
        <v>2094</v>
      </c>
      <c r="G22" s="104">
        <v>280960</v>
      </c>
      <c r="H22" s="103">
        <v>3071</v>
      </c>
      <c r="I22" s="102">
        <v>383680</v>
      </c>
      <c r="J22" s="101">
        <f t="shared" si="0"/>
        <v>6324</v>
      </c>
      <c r="K22" s="100">
        <f t="shared" si="0"/>
        <v>866680</v>
      </c>
      <c r="L22" s="99"/>
    </row>
    <row r="23" spans="2:12" s="60" customFormat="1" ht="20.25" customHeight="1">
      <c r="B23" s="61">
        <v>14</v>
      </c>
      <c r="C23" s="62" t="s">
        <v>19</v>
      </c>
      <c r="D23" s="120">
        <f>'９月'!J23</f>
        <v>2713</v>
      </c>
      <c r="E23" s="116">
        <f>'９月'!K23</f>
        <v>2109488</v>
      </c>
      <c r="F23" s="112">
        <v>1064</v>
      </c>
      <c r="G23" s="111">
        <v>1387400</v>
      </c>
      <c r="H23" s="110">
        <v>1063</v>
      </c>
      <c r="I23" s="109">
        <v>1605142</v>
      </c>
      <c r="J23" s="108">
        <f t="shared" si="0"/>
        <v>2714</v>
      </c>
      <c r="K23" s="107">
        <f t="shared" si="0"/>
        <v>1891746</v>
      </c>
      <c r="L23" s="106"/>
    </row>
    <row r="24" spans="2:12" ht="20.25" customHeight="1">
      <c r="B24" s="21">
        <v>15</v>
      </c>
      <c r="C24" s="22" t="s">
        <v>20</v>
      </c>
      <c r="D24" s="120">
        <f>'９月'!J24</f>
        <v>25621</v>
      </c>
      <c r="E24" s="116">
        <f>'９月'!K24</f>
        <v>3141305</v>
      </c>
      <c r="F24" s="105">
        <v>1159</v>
      </c>
      <c r="G24" s="104">
        <v>643276</v>
      </c>
      <c r="H24" s="103">
        <v>1169</v>
      </c>
      <c r="I24" s="102">
        <v>672135</v>
      </c>
      <c r="J24" s="101">
        <f t="shared" si="0"/>
        <v>25611</v>
      </c>
      <c r="K24" s="100">
        <f t="shared" si="0"/>
        <v>3112446</v>
      </c>
      <c r="L24" s="99"/>
    </row>
    <row r="25" spans="2:12" ht="20.25" customHeight="1">
      <c r="B25" s="21">
        <v>16</v>
      </c>
      <c r="C25" s="22" t="s">
        <v>21</v>
      </c>
      <c r="D25" s="120">
        <f>'９月'!J25</f>
        <v>7386</v>
      </c>
      <c r="E25" s="116">
        <f>'９月'!K25</f>
        <v>3930221</v>
      </c>
      <c r="F25" s="105">
        <f>4595+1</f>
        <v>4596</v>
      </c>
      <c r="G25" s="104">
        <f>1024939+654</f>
        <v>1025593</v>
      </c>
      <c r="H25" s="103">
        <f>5024+4</f>
        <v>5028</v>
      </c>
      <c r="I25" s="102">
        <f>1126796+4126</f>
        <v>1130922</v>
      </c>
      <c r="J25" s="101">
        <f t="shared" si="0"/>
        <v>6954</v>
      </c>
      <c r="K25" s="100">
        <f t="shared" si="0"/>
        <v>3824892</v>
      </c>
      <c r="L25" s="99"/>
    </row>
    <row r="26" spans="2:12" ht="20.25" customHeight="1">
      <c r="B26" s="21">
        <v>17</v>
      </c>
      <c r="C26" s="22" t="s">
        <v>22</v>
      </c>
      <c r="D26" s="120">
        <f>'９月'!J26</f>
        <v>18890</v>
      </c>
      <c r="E26" s="116">
        <f>'９月'!K26</f>
        <v>6841602</v>
      </c>
      <c r="F26" s="105">
        <v>6196</v>
      </c>
      <c r="G26" s="104">
        <v>1111972</v>
      </c>
      <c r="H26" s="103">
        <v>6643</v>
      </c>
      <c r="I26" s="102">
        <v>1320002</v>
      </c>
      <c r="J26" s="101">
        <f t="shared" si="0"/>
        <v>18443</v>
      </c>
      <c r="K26" s="100">
        <f t="shared" si="0"/>
        <v>6633572</v>
      </c>
      <c r="L26" s="99"/>
    </row>
    <row r="27" spans="2:12" ht="20.25" customHeight="1">
      <c r="B27" s="21">
        <v>18</v>
      </c>
      <c r="C27" s="22" t="s">
        <v>51</v>
      </c>
      <c r="D27" s="120">
        <f>'９月'!J27</f>
        <v>2088</v>
      </c>
      <c r="E27" s="116">
        <f>'９月'!K27</f>
        <v>329450</v>
      </c>
      <c r="F27" s="105">
        <v>244</v>
      </c>
      <c r="G27" s="104">
        <v>79700</v>
      </c>
      <c r="H27" s="103">
        <v>271</v>
      </c>
      <c r="I27" s="102">
        <v>87150</v>
      </c>
      <c r="J27" s="101">
        <f t="shared" si="0"/>
        <v>2061</v>
      </c>
      <c r="K27" s="100">
        <f t="shared" si="0"/>
        <v>322000</v>
      </c>
      <c r="L27" s="99"/>
    </row>
    <row r="28" spans="2:12" ht="20.25" customHeight="1">
      <c r="B28" s="21">
        <v>19</v>
      </c>
      <c r="C28" s="22" t="s">
        <v>23</v>
      </c>
      <c r="D28" s="120">
        <f>'９月'!J28</f>
        <v>550</v>
      </c>
      <c r="E28" s="116">
        <f>'９月'!K28</f>
        <v>60500</v>
      </c>
      <c r="F28" s="105">
        <v>840</v>
      </c>
      <c r="G28" s="104">
        <v>92400</v>
      </c>
      <c r="H28" s="103">
        <v>640</v>
      </c>
      <c r="I28" s="102">
        <v>70400</v>
      </c>
      <c r="J28" s="101">
        <f t="shared" si="0"/>
        <v>750</v>
      </c>
      <c r="K28" s="100">
        <f t="shared" si="0"/>
        <v>82500</v>
      </c>
      <c r="L28" s="99"/>
    </row>
    <row r="29" spans="2:12" s="60" customFormat="1" ht="20.25" customHeight="1">
      <c r="B29" s="61">
        <v>20</v>
      </c>
      <c r="C29" s="62" t="s">
        <v>24</v>
      </c>
      <c r="D29" s="120">
        <f>'９月'!J29</f>
        <v>1052</v>
      </c>
      <c r="E29" s="116">
        <f>'９月'!K29</f>
        <v>309981</v>
      </c>
      <c r="F29" s="74">
        <f>23+24</f>
        <v>47</v>
      </c>
      <c r="G29" s="111">
        <f>4600+45960</f>
        <v>50560</v>
      </c>
      <c r="H29" s="110">
        <f>30+26</f>
        <v>56</v>
      </c>
      <c r="I29" s="109">
        <f>6000+49790</f>
        <v>55790</v>
      </c>
      <c r="J29" s="108">
        <f t="shared" si="0"/>
        <v>1043</v>
      </c>
      <c r="K29" s="107">
        <f t="shared" si="0"/>
        <v>304751</v>
      </c>
      <c r="L29" s="106"/>
    </row>
    <row r="30" spans="2:12" s="60" customFormat="1" ht="20.25" customHeight="1">
      <c r="B30" s="61">
        <v>21</v>
      </c>
      <c r="C30" s="62" t="s">
        <v>25</v>
      </c>
      <c r="D30" s="120">
        <f>'９月'!J30</f>
        <v>1478</v>
      </c>
      <c r="E30" s="116">
        <f>'９月'!K30</f>
        <v>777931</v>
      </c>
      <c r="F30" s="112">
        <f>413+730</f>
        <v>1143</v>
      </c>
      <c r="G30" s="111">
        <f>267060+67864</f>
        <v>334924</v>
      </c>
      <c r="H30" s="110">
        <f>324+575</f>
        <v>899</v>
      </c>
      <c r="I30" s="109">
        <f>233880+53459</f>
        <v>287339</v>
      </c>
      <c r="J30" s="108">
        <f t="shared" si="0"/>
        <v>1722</v>
      </c>
      <c r="K30" s="107">
        <f t="shared" si="0"/>
        <v>825516</v>
      </c>
      <c r="L30" s="106"/>
    </row>
    <row r="31" spans="2:12" s="60" customFormat="1" ht="20.25" customHeight="1">
      <c r="B31" s="61">
        <v>22</v>
      </c>
      <c r="C31" s="62" t="s">
        <v>26</v>
      </c>
      <c r="D31" s="120">
        <f>'９月'!J31</f>
        <v>0</v>
      </c>
      <c r="E31" s="116">
        <f>'９月'!K31</f>
        <v>0</v>
      </c>
      <c r="F31" s="112">
        <v>0</v>
      </c>
      <c r="G31" s="111">
        <v>0</v>
      </c>
      <c r="H31" s="110">
        <v>0</v>
      </c>
      <c r="I31" s="109">
        <v>0</v>
      </c>
      <c r="J31" s="108">
        <f t="shared" si="0"/>
        <v>0</v>
      </c>
      <c r="K31" s="107">
        <f t="shared" si="0"/>
        <v>0</v>
      </c>
      <c r="L31" s="106"/>
    </row>
    <row r="32" spans="2:12" s="60" customFormat="1" ht="20.25" customHeight="1">
      <c r="B32" s="61">
        <v>23</v>
      </c>
      <c r="C32" s="62" t="s">
        <v>27</v>
      </c>
      <c r="D32" s="120">
        <f>'９月'!J32</f>
        <v>20</v>
      </c>
      <c r="E32" s="116">
        <f>'９月'!K32</f>
        <v>15200</v>
      </c>
      <c r="F32" s="112">
        <v>7</v>
      </c>
      <c r="G32" s="111">
        <v>6228</v>
      </c>
      <c r="H32" s="110">
        <v>7</v>
      </c>
      <c r="I32" s="109">
        <v>6228</v>
      </c>
      <c r="J32" s="108">
        <f t="shared" si="0"/>
        <v>20</v>
      </c>
      <c r="K32" s="107">
        <f t="shared" si="0"/>
        <v>15200</v>
      </c>
      <c r="L32" s="106"/>
    </row>
    <row r="33" spans="2:12" s="60" customFormat="1" ht="20.25" customHeight="1">
      <c r="B33" s="61">
        <v>24</v>
      </c>
      <c r="C33" s="62" t="s">
        <v>28</v>
      </c>
      <c r="D33" s="120">
        <f>'９月'!J33</f>
        <v>21635</v>
      </c>
      <c r="E33" s="116">
        <f>'９月'!K33</f>
        <v>6638125</v>
      </c>
      <c r="F33" s="112">
        <v>16618</v>
      </c>
      <c r="G33" s="111">
        <v>4981896</v>
      </c>
      <c r="H33" s="72">
        <v>15813</v>
      </c>
      <c r="I33" s="109">
        <v>4708132</v>
      </c>
      <c r="J33" s="108">
        <f t="shared" si="0"/>
        <v>22440</v>
      </c>
      <c r="K33" s="107">
        <f t="shared" si="0"/>
        <v>6911889</v>
      </c>
      <c r="L33" s="106"/>
    </row>
    <row r="34" spans="2:12" s="60" customFormat="1" ht="32.25" customHeight="1">
      <c r="B34" s="61">
        <v>25</v>
      </c>
      <c r="C34" s="62" t="s">
        <v>29</v>
      </c>
      <c r="D34" s="120">
        <f>'９月'!J34</f>
        <v>109180</v>
      </c>
      <c r="E34" s="116">
        <f>'９月'!K34</f>
        <v>8062787</v>
      </c>
      <c r="F34" s="112">
        <f>39430+293</f>
        <v>39723</v>
      </c>
      <c r="G34" s="111">
        <f>5788285+303000</f>
        <v>6091285</v>
      </c>
      <c r="H34" s="110">
        <f>37352+300</f>
        <v>37652</v>
      </c>
      <c r="I34" s="109">
        <f>5501540+295100</f>
        <v>5796640</v>
      </c>
      <c r="J34" s="108">
        <f t="shared" si="0"/>
        <v>111251</v>
      </c>
      <c r="K34" s="107">
        <f t="shared" si="0"/>
        <v>8357432</v>
      </c>
      <c r="L34" s="106"/>
    </row>
    <row r="35" spans="2:12" s="60" customFormat="1" ht="20.25" customHeight="1">
      <c r="B35" s="61">
        <v>26</v>
      </c>
      <c r="C35" s="62" t="s">
        <v>30</v>
      </c>
      <c r="D35" s="120">
        <f>'９月'!J35</f>
        <v>4658</v>
      </c>
      <c r="E35" s="116">
        <f>'９月'!K35</f>
        <v>3407296</v>
      </c>
      <c r="F35" s="112">
        <v>826</v>
      </c>
      <c r="G35" s="111">
        <v>133545</v>
      </c>
      <c r="H35" s="110">
        <v>906</v>
      </c>
      <c r="I35" s="109">
        <v>163319</v>
      </c>
      <c r="J35" s="108">
        <f t="shared" si="0"/>
        <v>4578</v>
      </c>
      <c r="K35" s="107">
        <f t="shared" si="0"/>
        <v>3377522</v>
      </c>
      <c r="L35" s="106"/>
    </row>
    <row r="36" spans="2:12" s="60" customFormat="1" ht="20.25" customHeight="1">
      <c r="B36" s="61">
        <v>27</v>
      </c>
      <c r="C36" s="62" t="s">
        <v>31</v>
      </c>
      <c r="D36" s="120">
        <f>'９月'!J36</f>
        <v>228</v>
      </c>
      <c r="E36" s="116">
        <f>'９月'!K36</f>
        <v>45800</v>
      </c>
      <c r="F36" s="112">
        <v>326</v>
      </c>
      <c r="G36" s="111">
        <v>65120</v>
      </c>
      <c r="H36" s="110">
        <v>299</v>
      </c>
      <c r="I36" s="109">
        <v>59960</v>
      </c>
      <c r="J36" s="108">
        <f t="shared" si="0"/>
        <v>255</v>
      </c>
      <c r="K36" s="107">
        <f t="shared" si="0"/>
        <v>50960</v>
      </c>
      <c r="L36" s="106"/>
    </row>
    <row r="37" spans="2:12" s="60" customFormat="1" ht="20.25" customHeight="1">
      <c r="B37" s="61">
        <v>28</v>
      </c>
      <c r="C37" s="62" t="s">
        <v>33</v>
      </c>
      <c r="D37" s="120">
        <f>'９月'!J37</f>
        <v>0</v>
      </c>
      <c r="E37" s="116">
        <f>'９月'!K37</f>
        <v>0</v>
      </c>
      <c r="F37" s="112">
        <v>0</v>
      </c>
      <c r="G37" s="111">
        <v>0</v>
      </c>
      <c r="H37" s="110">
        <v>0</v>
      </c>
      <c r="I37" s="109">
        <v>0</v>
      </c>
      <c r="J37" s="108">
        <f t="shared" si="0"/>
        <v>0</v>
      </c>
      <c r="K37" s="107">
        <f t="shared" si="0"/>
        <v>0</v>
      </c>
      <c r="L37" s="106"/>
    </row>
    <row r="38" spans="2:12" s="60" customFormat="1" ht="20.25" customHeight="1">
      <c r="B38" s="61">
        <v>29</v>
      </c>
      <c r="C38" s="62" t="s">
        <v>32</v>
      </c>
      <c r="D38" s="120">
        <f>'９月'!J38</f>
        <v>788</v>
      </c>
      <c r="E38" s="116">
        <f>'９月'!K38</f>
        <v>163080</v>
      </c>
      <c r="F38" s="112">
        <v>30</v>
      </c>
      <c r="G38" s="111">
        <v>6000</v>
      </c>
      <c r="H38" s="110">
        <v>62</v>
      </c>
      <c r="I38" s="109">
        <v>13520</v>
      </c>
      <c r="J38" s="108">
        <f t="shared" si="0"/>
        <v>756</v>
      </c>
      <c r="K38" s="107">
        <f t="shared" si="0"/>
        <v>155560</v>
      </c>
      <c r="L38" s="106"/>
    </row>
    <row r="39" spans="2:12" s="60" customFormat="1" ht="20.25" customHeight="1">
      <c r="B39" s="61">
        <v>30</v>
      </c>
      <c r="C39" s="62" t="s">
        <v>34</v>
      </c>
      <c r="D39" s="120">
        <f>'９月'!J39</f>
        <v>1164</v>
      </c>
      <c r="E39" s="116">
        <f>'９月'!K39</f>
        <v>1280400</v>
      </c>
      <c r="F39" s="112">
        <v>60</v>
      </c>
      <c r="G39" s="111">
        <v>66000</v>
      </c>
      <c r="H39" s="110">
        <v>100</v>
      </c>
      <c r="I39" s="109">
        <v>110000</v>
      </c>
      <c r="J39" s="108">
        <f t="shared" si="0"/>
        <v>1124</v>
      </c>
      <c r="K39" s="107">
        <f t="shared" si="0"/>
        <v>1236400</v>
      </c>
      <c r="L39" s="106"/>
    </row>
    <row r="40" spans="2:12" s="60" customFormat="1" ht="20.25" customHeight="1">
      <c r="B40" s="61">
        <v>31</v>
      </c>
      <c r="C40" s="62" t="s">
        <v>35</v>
      </c>
      <c r="D40" s="120">
        <f>'９月'!J40</f>
        <v>0</v>
      </c>
      <c r="E40" s="116">
        <f>'９月'!K40</f>
        <v>0</v>
      </c>
      <c r="F40" s="112">
        <v>0</v>
      </c>
      <c r="G40" s="111">
        <v>0</v>
      </c>
      <c r="H40" s="110">
        <v>0</v>
      </c>
      <c r="I40" s="109">
        <v>0</v>
      </c>
      <c r="J40" s="108">
        <f t="shared" si="0"/>
        <v>0</v>
      </c>
      <c r="K40" s="107">
        <f t="shared" si="0"/>
        <v>0</v>
      </c>
      <c r="L40" s="106"/>
    </row>
    <row r="41" spans="2:12" s="60" customFormat="1" ht="20.25" customHeight="1">
      <c r="B41" s="61">
        <v>32</v>
      </c>
      <c r="C41" s="62" t="s">
        <v>36</v>
      </c>
      <c r="D41" s="120">
        <f>'９月'!J41</f>
        <v>0</v>
      </c>
      <c r="E41" s="116">
        <f>'９月'!K41</f>
        <v>0</v>
      </c>
      <c r="F41" s="112">
        <v>0</v>
      </c>
      <c r="G41" s="111">
        <v>0</v>
      </c>
      <c r="H41" s="110">
        <v>0</v>
      </c>
      <c r="I41" s="109">
        <v>0</v>
      </c>
      <c r="J41" s="108">
        <f t="shared" si="0"/>
        <v>0</v>
      </c>
      <c r="K41" s="107">
        <f t="shared" si="0"/>
        <v>0</v>
      </c>
      <c r="L41" s="106"/>
    </row>
    <row r="42" spans="2:12" s="60" customFormat="1" ht="20.25" customHeight="1">
      <c r="B42" s="61">
        <v>33</v>
      </c>
      <c r="C42" s="62" t="s">
        <v>37</v>
      </c>
      <c r="D42" s="120">
        <f>'９月'!J42</f>
        <v>46539</v>
      </c>
      <c r="E42" s="116">
        <f>'９月'!K42</f>
        <v>7777898</v>
      </c>
      <c r="F42" s="112">
        <v>20058</v>
      </c>
      <c r="G42" s="111">
        <v>5802167</v>
      </c>
      <c r="H42" s="110">
        <v>20110</v>
      </c>
      <c r="I42" s="109">
        <v>5625275</v>
      </c>
      <c r="J42" s="108">
        <f t="shared" si="0"/>
        <v>46487</v>
      </c>
      <c r="K42" s="107">
        <f t="shared" si="0"/>
        <v>7954790</v>
      </c>
      <c r="L42" s="106"/>
    </row>
    <row r="43" spans="2:12" s="60" customFormat="1" ht="33" customHeight="1">
      <c r="B43" s="61">
        <v>34</v>
      </c>
      <c r="C43" s="62" t="s">
        <v>38</v>
      </c>
      <c r="D43" s="120">
        <f>'９月'!J43</f>
        <v>7142</v>
      </c>
      <c r="E43" s="116">
        <f>'９月'!K43</f>
        <v>2377493</v>
      </c>
      <c r="F43" s="112">
        <v>7047</v>
      </c>
      <c r="G43" s="111">
        <v>2131437</v>
      </c>
      <c r="H43" s="110">
        <v>6242</v>
      </c>
      <c r="I43" s="109">
        <v>1809167</v>
      </c>
      <c r="J43" s="108">
        <f t="shared" si="0"/>
        <v>7947</v>
      </c>
      <c r="K43" s="107">
        <f t="shared" si="0"/>
        <v>2699763</v>
      </c>
      <c r="L43" s="106"/>
    </row>
    <row r="44" spans="2:12" s="60" customFormat="1" ht="20.25" customHeight="1">
      <c r="B44" s="61">
        <v>35</v>
      </c>
      <c r="C44" s="62" t="s">
        <v>39</v>
      </c>
      <c r="D44" s="120">
        <f>'９月'!J44</f>
        <v>20</v>
      </c>
      <c r="E44" s="116">
        <f>'９月'!K44</f>
        <v>114780</v>
      </c>
      <c r="F44" s="112">
        <v>3</v>
      </c>
      <c r="G44" s="111">
        <v>3060</v>
      </c>
      <c r="H44" s="110">
        <v>3</v>
      </c>
      <c r="I44" s="109">
        <v>3030</v>
      </c>
      <c r="J44" s="108">
        <f t="shared" si="0"/>
        <v>20</v>
      </c>
      <c r="K44" s="107">
        <f t="shared" si="0"/>
        <v>114810</v>
      </c>
      <c r="L44" s="106"/>
    </row>
    <row r="45" spans="2:12" s="60" customFormat="1" ht="20.25" customHeight="1">
      <c r="B45" s="61">
        <v>36</v>
      </c>
      <c r="C45" s="62" t="s">
        <v>40</v>
      </c>
      <c r="D45" s="120">
        <f>'９月'!J45</f>
        <v>5291</v>
      </c>
      <c r="E45" s="116">
        <f>'９月'!K45</f>
        <v>2782774</v>
      </c>
      <c r="F45" s="112">
        <v>5546</v>
      </c>
      <c r="G45" s="111">
        <v>1984479</v>
      </c>
      <c r="H45" s="110">
        <v>7266</v>
      </c>
      <c r="I45" s="109">
        <v>2641636</v>
      </c>
      <c r="J45" s="108">
        <f t="shared" si="0"/>
        <v>3571</v>
      </c>
      <c r="K45" s="107">
        <f t="shared" si="0"/>
        <v>2125617</v>
      </c>
      <c r="L45" s="106"/>
    </row>
    <row r="46" spans="2:12" ht="20.25" customHeight="1">
      <c r="B46" s="21">
        <v>37</v>
      </c>
      <c r="C46" s="22" t="s">
        <v>41</v>
      </c>
      <c r="D46" s="120">
        <f>'９月'!J46</f>
        <v>8478</v>
      </c>
      <c r="E46" s="116">
        <f>'９月'!K46</f>
        <v>1395727</v>
      </c>
      <c r="F46" s="105">
        <v>4199</v>
      </c>
      <c r="G46" s="104">
        <v>1974684</v>
      </c>
      <c r="H46" s="103">
        <v>4907</v>
      </c>
      <c r="I46" s="102">
        <v>2122268</v>
      </c>
      <c r="J46" s="101">
        <f t="shared" si="0"/>
        <v>7770</v>
      </c>
      <c r="K46" s="100">
        <f t="shared" si="0"/>
        <v>1248143</v>
      </c>
      <c r="L46" s="99"/>
    </row>
    <row r="47" spans="2:12" ht="32.25" customHeight="1">
      <c r="B47" s="21">
        <v>38</v>
      </c>
      <c r="C47" s="22" t="s">
        <v>42</v>
      </c>
      <c r="D47" s="120">
        <f>'９月'!J47</f>
        <v>2870</v>
      </c>
      <c r="E47" s="116">
        <f>'９月'!K47</f>
        <v>1870944</v>
      </c>
      <c r="F47" s="105">
        <v>1222</v>
      </c>
      <c r="G47" s="104">
        <v>536411</v>
      </c>
      <c r="H47" s="103">
        <v>1561</v>
      </c>
      <c r="I47" s="102">
        <v>745958</v>
      </c>
      <c r="J47" s="101">
        <f t="shared" si="0"/>
        <v>2531</v>
      </c>
      <c r="K47" s="100">
        <f t="shared" si="0"/>
        <v>1661397</v>
      </c>
      <c r="L47" s="99"/>
    </row>
    <row r="48" spans="2:12" ht="20.25" customHeight="1">
      <c r="B48" s="21">
        <v>39</v>
      </c>
      <c r="C48" s="22" t="s">
        <v>43</v>
      </c>
      <c r="D48" s="120">
        <f>'９月'!J48</f>
        <v>0</v>
      </c>
      <c r="E48" s="116">
        <f>'９月'!K48</f>
        <v>0</v>
      </c>
      <c r="F48" s="105">
        <v>0</v>
      </c>
      <c r="G48" s="104">
        <v>0</v>
      </c>
      <c r="H48" s="103">
        <v>0</v>
      </c>
      <c r="I48" s="102">
        <v>0</v>
      </c>
      <c r="J48" s="101">
        <f t="shared" si="0"/>
        <v>0</v>
      </c>
      <c r="K48" s="100">
        <f t="shared" si="0"/>
        <v>0</v>
      </c>
      <c r="L48" s="99"/>
    </row>
    <row r="49" spans="2:12" ht="20.25" customHeight="1" thickBot="1">
      <c r="B49" s="23">
        <v>40</v>
      </c>
      <c r="C49" s="24" t="s">
        <v>50</v>
      </c>
      <c r="D49" s="120">
        <f>'９月'!J49</f>
        <v>7632</v>
      </c>
      <c r="E49" s="97">
        <f>'９月'!K49</f>
        <v>2701654</v>
      </c>
      <c r="F49" s="98">
        <v>6549</v>
      </c>
      <c r="G49" s="97">
        <v>1486632</v>
      </c>
      <c r="H49" s="96">
        <v>6425</v>
      </c>
      <c r="I49" s="95">
        <v>1557975</v>
      </c>
      <c r="J49" s="94">
        <f t="shared" si="0"/>
        <v>7756</v>
      </c>
      <c r="K49" s="93">
        <f t="shared" si="0"/>
        <v>2630311</v>
      </c>
      <c r="L49" s="92"/>
    </row>
    <row r="50" spans="2:12" ht="21" customHeight="1" thickBot="1" thickTop="1">
      <c r="B50" s="140" t="s">
        <v>46</v>
      </c>
      <c r="C50" s="141"/>
      <c r="D50" s="91">
        <f aca="true" t="shared" si="1" ref="D50:I50">SUM(D10:D49)</f>
        <v>319928</v>
      </c>
      <c r="E50" s="90">
        <f t="shared" si="1"/>
        <v>66555631</v>
      </c>
      <c r="F50" s="89">
        <f t="shared" si="1"/>
        <v>124520</v>
      </c>
      <c r="G50" s="87">
        <f t="shared" si="1"/>
        <v>31202357</v>
      </c>
      <c r="H50" s="89">
        <f t="shared" si="1"/>
        <v>124716</v>
      </c>
      <c r="I50" s="87">
        <f t="shared" si="1"/>
        <v>31832044</v>
      </c>
      <c r="J50" s="88">
        <f t="shared" si="0"/>
        <v>319732</v>
      </c>
      <c r="K50" s="87">
        <f t="shared" si="0"/>
        <v>65925944</v>
      </c>
      <c r="L50" s="86"/>
    </row>
    <row r="51" spans="10:11" ht="13.5">
      <c r="J51" s="85"/>
      <c r="K51" s="85"/>
    </row>
    <row r="52" spans="10:11" ht="13.5">
      <c r="J52" s="84"/>
      <c r="K52" s="84"/>
    </row>
    <row r="53" spans="10:11" ht="13.5">
      <c r="J53" s="77"/>
      <c r="K53" s="77"/>
    </row>
    <row r="55" spans="4:11" ht="13.5">
      <c r="D55" s="75"/>
      <c r="E55" s="75"/>
      <c r="F55" s="75"/>
      <c r="G55" s="75"/>
      <c r="H55" s="75"/>
      <c r="I55" s="75"/>
      <c r="J55" s="82"/>
      <c r="K55" s="82"/>
    </row>
    <row r="56" spans="4:11" ht="13.5">
      <c r="D56" s="75"/>
      <c r="E56" s="75"/>
      <c r="F56" s="75"/>
      <c r="G56" s="75"/>
      <c r="H56" s="75"/>
      <c r="I56" s="75"/>
      <c r="J56" s="82"/>
      <c r="K56" s="82"/>
    </row>
    <row r="57" spans="4:11" ht="13.5">
      <c r="D57" s="80"/>
      <c r="E57" s="80"/>
      <c r="F57" s="80"/>
      <c r="G57" s="80"/>
      <c r="H57" s="80"/>
      <c r="I57" s="80"/>
      <c r="J57" s="80"/>
      <c r="K57" s="80"/>
    </row>
    <row r="58" spans="4:11" ht="13.5">
      <c r="D58" s="80"/>
      <c r="E58" s="80"/>
      <c r="F58" s="80"/>
      <c r="G58" s="80"/>
      <c r="H58" s="80"/>
      <c r="I58" s="80"/>
      <c r="J58" s="80"/>
      <c r="K58" s="80"/>
    </row>
    <row r="59" spans="4:11" ht="13.5">
      <c r="D59" s="80"/>
      <c r="E59" s="80"/>
      <c r="F59" s="80"/>
      <c r="G59" s="80"/>
      <c r="H59" s="80"/>
      <c r="I59" s="80"/>
      <c r="J59" s="83"/>
      <c r="K59" s="83"/>
    </row>
    <row r="60" spans="4:11" ht="13.5">
      <c r="D60" s="80"/>
      <c r="E60" s="80"/>
      <c r="F60" s="80"/>
      <c r="G60" s="80"/>
      <c r="H60" s="80"/>
      <c r="I60" s="80"/>
      <c r="J60" s="83"/>
      <c r="K60" s="83"/>
    </row>
    <row r="61" spans="4:11" ht="13.5">
      <c r="D61" s="80"/>
      <c r="E61" s="80"/>
      <c r="F61" s="80"/>
      <c r="G61" s="80"/>
      <c r="H61" s="80"/>
      <c r="I61" s="80"/>
      <c r="J61" s="80"/>
      <c r="K61" s="80"/>
    </row>
    <row r="62" spans="4:11" ht="13.5">
      <c r="D62" s="75"/>
      <c r="E62" s="75"/>
      <c r="F62" s="75"/>
      <c r="G62" s="75"/>
      <c r="H62" s="75"/>
      <c r="I62" s="75"/>
      <c r="J62" s="75"/>
      <c r="K62" s="75"/>
    </row>
    <row r="63" spans="4:11" ht="13.5">
      <c r="D63" s="75"/>
      <c r="E63" s="75"/>
      <c r="F63" s="75"/>
      <c r="G63" s="75"/>
      <c r="H63" s="75"/>
      <c r="I63" s="75"/>
      <c r="J63" s="82"/>
      <c r="K63" s="82"/>
    </row>
    <row r="64" spans="4:11" ht="13.5">
      <c r="D64" s="75"/>
      <c r="E64" s="75"/>
      <c r="F64" s="75"/>
      <c r="G64" s="75"/>
      <c r="H64" s="75"/>
      <c r="I64" s="75"/>
      <c r="J64" s="82"/>
      <c r="K64" s="82"/>
    </row>
    <row r="65" spans="4:11" ht="13.5">
      <c r="D65" s="75"/>
      <c r="E65" s="75"/>
      <c r="F65" s="75"/>
      <c r="G65" s="75"/>
      <c r="H65" s="75"/>
      <c r="I65" s="75"/>
      <c r="J65" s="75"/>
      <c r="K65" s="75"/>
    </row>
  </sheetData>
  <sheetProtection/>
  <mergeCells count="9">
    <mergeCell ref="B50:C50"/>
    <mergeCell ref="B2:L2"/>
    <mergeCell ref="J4:L4"/>
    <mergeCell ref="J5:L5"/>
    <mergeCell ref="D7:E7"/>
    <mergeCell ref="F7:G7"/>
    <mergeCell ref="H7:I7"/>
    <mergeCell ref="J7:K7"/>
    <mergeCell ref="L7:L9"/>
  </mergeCells>
  <printOptions horizontalCentered="1"/>
  <pageMargins left="0.3937007874015748" right="0.3937007874015748" top="0.5905511811023623" bottom="0.3937007874015748" header="0" footer="0"/>
  <pageSetup fitToHeight="1" fitToWidth="1" horizontalDpi="300" verticalDpi="300" orientation="portrait" paperSize="9" scale="82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65"/>
  <sheetViews>
    <sheetView zoomScalePageLayoutView="0" workbookViewId="0" topLeftCell="A1">
      <pane xSplit="5" ySplit="9" topLeftCell="F46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E49" sqref="E49"/>
    </sheetView>
  </sheetViews>
  <sheetFormatPr defaultColWidth="9.00390625" defaultRowHeight="13.5"/>
  <cols>
    <col min="1" max="1" width="4.375" style="1" customWidth="1"/>
    <col min="2" max="2" width="3.375" style="1" customWidth="1"/>
    <col min="3" max="3" width="15.125" style="1" customWidth="1"/>
    <col min="4" max="4" width="10.00390625" style="1" customWidth="1"/>
    <col min="5" max="5" width="11.25390625" style="1" customWidth="1"/>
    <col min="6" max="6" width="10.00390625" style="1" customWidth="1"/>
    <col min="7" max="7" width="11.25390625" style="1" customWidth="1"/>
    <col min="8" max="8" width="10.00390625" style="1" customWidth="1"/>
    <col min="9" max="9" width="11.25390625" style="1" customWidth="1"/>
    <col min="10" max="10" width="10.00390625" style="1" customWidth="1"/>
    <col min="11" max="11" width="11.25390625" style="1" customWidth="1"/>
    <col min="12" max="12" width="9.375" style="1" customWidth="1"/>
    <col min="13" max="13" width="4.00390625" style="1" customWidth="1"/>
    <col min="14" max="16384" width="9.00390625" style="1" customWidth="1"/>
  </cols>
  <sheetData>
    <row r="2" spans="2:12" ht="18.75" customHeight="1">
      <c r="B2" s="142" t="s">
        <v>47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2:12" ht="15" customHeight="1">
      <c r="B3" s="28" t="str">
        <f>'１月'!$B$3</f>
        <v>平成２８年</v>
      </c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2:12" ht="18" customHeight="1">
      <c r="B4" s="27"/>
      <c r="C4" s="54" t="s">
        <v>72</v>
      </c>
      <c r="E4" s="28" t="s">
        <v>54</v>
      </c>
      <c r="I4" s="121" t="s">
        <v>52</v>
      </c>
      <c r="J4" s="152" t="s">
        <v>57</v>
      </c>
      <c r="K4" s="152"/>
      <c r="L4" s="152"/>
    </row>
    <row r="5" spans="3:12" ht="18" customHeight="1">
      <c r="C5" s="1" t="s">
        <v>59</v>
      </c>
      <c r="I5" s="2" t="s">
        <v>53</v>
      </c>
      <c r="J5" s="148"/>
      <c r="K5" s="148"/>
      <c r="L5" s="148"/>
    </row>
    <row r="6" spans="5:12" ht="18" customHeight="1" thickBot="1">
      <c r="E6" s="1" t="s">
        <v>58</v>
      </c>
      <c r="G6" s="138"/>
      <c r="I6" s="2"/>
      <c r="J6" s="55"/>
      <c r="K6" s="55"/>
      <c r="L6" s="55"/>
    </row>
    <row r="7" spans="2:12" ht="18.75" customHeight="1">
      <c r="B7" s="3"/>
      <c r="C7" s="4" t="s">
        <v>48</v>
      </c>
      <c r="D7" s="143" t="s">
        <v>0</v>
      </c>
      <c r="E7" s="144"/>
      <c r="F7" s="145" t="s">
        <v>1</v>
      </c>
      <c r="G7" s="146"/>
      <c r="H7" s="144" t="s">
        <v>2</v>
      </c>
      <c r="I7" s="144"/>
      <c r="J7" s="145" t="s">
        <v>3</v>
      </c>
      <c r="K7" s="146"/>
      <c r="L7" s="149" t="s">
        <v>4</v>
      </c>
    </row>
    <row r="8" spans="2:12" ht="18.75" customHeight="1">
      <c r="B8" s="5"/>
      <c r="C8" s="6"/>
      <c r="D8" s="7" t="s">
        <v>44</v>
      </c>
      <c r="E8" s="8" t="s">
        <v>45</v>
      </c>
      <c r="F8" s="9" t="s">
        <v>44</v>
      </c>
      <c r="G8" s="10" t="s">
        <v>45</v>
      </c>
      <c r="H8" s="11" t="s">
        <v>44</v>
      </c>
      <c r="I8" s="8" t="s">
        <v>45</v>
      </c>
      <c r="J8" s="9" t="s">
        <v>44</v>
      </c>
      <c r="K8" s="10" t="s">
        <v>45</v>
      </c>
      <c r="L8" s="150"/>
    </row>
    <row r="9" spans="2:12" ht="18.75" customHeight="1" thickBot="1">
      <c r="B9" s="12" t="s">
        <v>49</v>
      </c>
      <c r="C9" s="13"/>
      <c r="D9" s="14" t="s">
        <v>55</v>
      </c>
      <c r="E9" s="15" t="s">
        <v>5</v>
      </c>
      <c r="F9" s="16" t="s">
        <v>55</v>
      </c>
      <c r="G9" s="17" t="s">
        <v>5</v>
      </c>
      <c r="H9" s="18" t="s">
        <v>55</v>
      </c>
      <c r="I9" s="15" t="s">
        <v>5</v>
      </c>
      <c r="J9" s="16" t="s">
        <v>55</v>
      </c>
      <c r="K9" s="17" t="s">
        <v>5</v>
      </c>
      <c r="L9" s="151"/>
    </row>
    <row r="10" spans="2:14" ht="20.25" customHeight="1" thickTop="1">
      <c r="B10" s="19">
        <v>1</v>
      </c>
      <c r="C10" s="20" t="s">
        <v>6</v>
      </c>
      <c r="D10" s="120">
        <f>'１０月'!J10</f>
        <v>35356</v>
      </c>
      <c r="E10" s="116">
        <f>'１０月'!K10</f>
        <v>9251364</v>
      </c>
      <c r="F10" s="119"/>
      <c r="G10" s="118"/>
      <c r="H10" s="117"/>
      <c r="I10" s="116"/>
      <c r="J10" s="115">
        <f aca="true" t="shared" si="0" ref="J10:K50">D10+F10-H10</f>
        <v>35356</v>
      </c>
      <c r="K10" s="114">
        <f t="shared" si="0"/>
        <v>9251364</v>
      </c>
      <c r="L10" s="113"/>
      <c r="N10" s="60"/>
    </row>
    <row r="11" spans="2:12" ht="20.25" customHeight="1">
      <c r="B11" s="21">
        <v>2</v>
      </c>
      <c r="C11" s="22" t="s">
        <v>7</v>
      </c>
      <c r="D11" s="120">
        <f>'１０月'!J11</f>
        <v>1228</v>
      </c>
      <c r="E11" s="116">
        <f>'１０月'!K11</f>
        <v>137746</v>
      </c>
      <c r="F11" s="105"/>
      <c r="G11" s="104"/>
      <c r="H11" s="103"/>
      <c r="I11" s="102"/>
      <c r="J11" s="101">
        <f t="shared" si="0"/>
        <v>1228</v>
      </c>
      <c r="K11" s="100">
        <f t="shared" si="0"/>
        <v>137746</v>
      </c>
      <c r="L11" s="99"/>
    </row>
    <row r="12" spans="2:12" ht="20.25" customHeight="1">
      <c r="B12" s="21">
        <v>3</v>
      </c>
      <c r="C12" s="22" t="s">
        <v>8</v>
      </c>
      <c r="D12" s="120">
        <f>'１０月'!J12</f>
        <v>0</v>
      </c>
      <c r="E12" s="116">
        <f>'１０月'!K12</f>
        <v>0</v>
      </c>
      <c r="F12" s="105"/>
      <c r="G12" s="104"/>
      <c r="H12" s="103"/>
      <c r="I12" s="102"/>
      <c r="J12" s="101">
        <f t="shared" si="0"/>
        <v>0</v>
      </c>
      <c r="K12" s="100">
        <f t="shared" si="0"/>
        <v>0</v>
      </c>
      <c r="L12" s="99"/>
    </row>
    <row r="13" spans="2:12" ht="20.25" customHeight="1">
      <c r="B13" s="21">
        <v>4</v>
      </c>
      <c r="C13" s="22" t="s">
        <v>9</v>
      </c>
      <c r="D13" s="120">
        <f>'１０月'!J13</f>
        <v>966</v>
      </c>
      <c r="E13" s="116">
        <f>'１０月'!K13</f>
        <v>126812</v>
      </c>
      <c r="F13" s="105"/>
      <c r="G13" s="104"/>
      <c r="H13" s="103"/>
      <c r="I13" s="102"/>
      <c r="J13" s="101">
        <f t="shared" si="0"/>
        <v>966</v>
      </c>
      <c r="K13" s="100">
        <f t="shared" si="0"/>
        <v>126812</v>
      </c>
      <c r="L13" s="99"/>
    </row>
    <row r="14" spans="2:12" ht="20.25" customHeight="1">
      <c r="B14" s="21">
        <v>5</v>
      </c>
      <c r="C14" s="22" t="s">
        <v>10</v>
      </c>
      <c r="D14" s="120">
        <f>'１０月'!J14</f>
        <v>0</v>
      </c>
      <c r="E14" s="116">
        <f>'１０月'!K14</f>
        <v>0</v>
      </c>
      <c r="F14" s="105"/>
      <c r="G14" s="104"/>
      <c r="H14" s="103"/>
      <c r="I14" s="102"/>
      <c r="J14" s="101">
        <f t="shared" si="0"/>
        <v>0</v>
      </c>
      <c r="K14" s="100">
        <f t="shared" si="0"/>
        <v>0</v>
      </c>
      <c r="L14" s="99"/>
    </row>
    <row r="15" spans="2:12" ht="20.25" customHeight="1">
      <c r="B15" s="21">
        <v>6</v>
      </c>
      <c r="C15" s="22" t="s">
        <v>11</v>
      </c>
      <c r="D15" s="120">
        <f>'１０月'!J15</f>
        <v>0</v>
      </c>
      <c r="E15" s="116">
        <f>'１０月'!K15</f>
        <v>0</v>
      </c>
      <c r="F15" s="105"/>
      <c r="G15" s="104"/>
      <c r="H15" s="103"/>
      <c r="I15" s="102"/>
      <c r="J15" s="101">
        <f t="shared" si="0"/>
        <v>0</v>
      </c>
      <c r="K15" s="100">
        <f t="shared" si="0"/>
        <v>0</v>
      </c>
      <c r="L15" s="99"/>
    </row>
    <row r="16" spans="2:12" ht="20.25" customHeight="1">
      <c r="B16" s="21">
        <v>7</v>
      </c>
      <c r="C16" s="22" t="s">
        <v>12</v>
      </c>
      <c r="D16" s="120">
        <f>'１０月'!J16</f>
        <v>0</v>
      </c>
      <c r="E16" s="116">
        <f>'１０月'!K16</f>
        <v>0</v>
      </c>
      <c r="F16" s="105"/>
      <c r="G16" s="104"/>
      <c r="H16" s="103"/>
      <c r="I16" s="102"/>
      <c r="J16" s="101">
        <f t="shared" si="0"/>
        <v>0</v>
      </c>
      <c r="K16" s="100">
        <f t="shared" si="0"/>
        <v>0</v>
      </c>
      <c r="L16" s="99"/>
    </row>
    <row r="17" spans="2:12" ht="20.25" customHeight="1">
      <c r="B17" s="21">
        <v>8</v>
      </c>
      <c r="C17" s="22" t="s">
        <v>13</v>
      </c>
      <c r="D17" s="120">
        <f>'１０月'!J17</f>
        <v>0</v>
      </c>
      <c r="E17" s="116">
        <f>'１０月'!K17</f>
        <v>0</v>
      </c>
      <c r="F17" s="105"/>
      <c r="G17" s="104"/>
      <c r="H17" s="103"/>
      <c r="I17" s="102"/>
      <c r="J17" s="101">
        <f t="shared" si="0"/>
        <v>0</v>
      </c>
      <c r="K17" s="100">
        <f t="shared" si="0"/>
        <v>0</v>
      </c>
      <c r="L17" s="99"/>
    </row>
    <row r="18" spans="2:12" ht="20.25" customHeight="1">
      <c r="B18" s="21">
        <v>9</v>
      </c>
      <c r="C18" s="22" t="s">
        <v>14</v>
      </c>
      <c r="D18" s="120">
        <f>'１０月'!J18</f>
        <v>54</v>
      </c>
      <c r="E18" s="116">
        <f>'１０月'!K18</f>
        <v>6125</v>
      </c>
      <c r="F18" s="105"/>
      <c r="G18" s="104"/>
      <c r="H18" s="103"/>
      <c r="I18" s="102"/>
      <c r="J18" s="101">
        <f t="shared" si="0"/>
        <v>54</v>
      </c>
      <c r="K18" s="100">
        <f t="shared" si="0"/>
        <v>6125</v>
      </c>
      <c r="L18" s="99"/>
    </row>
    <row r="19" spans="2:12" ht="20.25" customHeight="1">
      <c r="B19" s="21">
        <v>10</v>
      </c>
      <c r="C19" s="22" t="s">
        <v>15</v>
      </c>
      <c r="D19" s="120">
        <f>'１０月'!J19</f>
        <v>0</v>
      </c>
      <c r="E19" s="116">
        <f>'１０月'!K19</f>
        <v>0</v>
      </c>
      <c r="F19" s="105"/>
      <c r="G19" s="104"/>
      <c r="H19" s="103"/>
      <c r="I19" s="102"/>
      <c r="J19" s="101">
        <f t="shared" si="0"/>
        <v>0</v>
      </c>
      <c r="K19" s="100">
        <f t="shared" si="0"/>
        <v>0</v>
      </c>
      <c r="L19" s="99"/>
    </row>
    <row r="20" spans="2:12" ht="20.25" customHeight="1">
      <c r="B20" s="21">
        <v>11</v>
      </c>
      <c r="C20" s="22" t="s">
        <v>16</v>
      </c>
      <c r="D20" s="120">
        <f>'１０月'!J20</f>
        <v>0</v>
      </c>
      <c r="E20" s="116">
        <f>'１０月'!K20</f>
        <v>0</v>
      </c>
      <c r="F20" s="105"/>
      <c r="G20" s="104"/>
      <c r="H20" s="103"/>
      <c r="I20" s="102"/>
      <c r="J20" s="101">
        <f t="shared" si="0"/>
        <v>0</v>
      </c>
      <c r="K20" s="100">
        <f t="shared" si="0"/>
        <v>0</v>
      </c>
      <c r="L20" s="99"/>
    </row>
    <row r="21" spans="2:12" ht="20.25" customHeight="1">
      <c r="B21" s="21">
        <v>12</v>
      </c>
      <c r="C21" s="22" t="s">
        <v>17</v>
      </c>
      <c r="D21" s="120">
        <f>'１０月'!J21</f>
        <v>0</v>
      </c>
      <c r="E21" s="116">
        <f>'１０月'!K21</f>
        <v>0</v>
      </c>
      <c r="F21" s="105"/>
      <c r="G21" s="104"/>
      <c r="H21" s="103"/>
      <c r="I21" s="102"/>
      <c r="J21" s="101">
        <f t="shared" si="0"/>
        <v>0</v>
      </c>
      <c r="K21" s="100">
        <f t="shared" si="0"/>
        <v>0</v>
      </c>
      <c r="L21" s="99"/>
    </row>
    <row r="22" spans="2:12" ht="20.25" customHeight="1">
      <c r="B22" s="21">
        <v>13</v>
      </c>
      <c r="C22" s="22" t="s">
        <v>18</v>
      </c>
      <c r="D22" s="120">
        <f>'１０月'!J22</f>
        <v>6324</v>
      </c>
      <c r="E22" s="116">
        <f>'１０月'!K22</f>
        <v>866680</v>
      </c>
      <c r="F22" s="105"/>
      <c r="G22" s="104"/>
      <c r="H22" s="103"/>
      <c r="I22" s="102"/>
      <c r="J22" s="101">
        <f t="shared" si="0"/>
        <v>6324</v>
      </c>
      <c r="K22" s="100">
        <f t="shared" si="0"/>
        <v>866680</v>
      </c>
      <c r="L22" s="99"/>
    </row>
    <row r="23" spans="2:12" s="60" customFormat="1" ht="20.25" customHeight="1">
      <c r="B23" s="61">
        <v>14</v>
      </c>
      <c r="C23" s="62" t="s">
        <v>19</v>
      </c>
      <c r="D23" s="120">
        <f>'１０月'!J23</f>
        <v>2714</v>
      </c>
      <c r="E23" s="116">
        <f>'１０月'!K23</f>
        <v>1891746</v>
      </c>
      <c r="F23" s="112"/>
      <c r="G23" s="111"/>
      <c r="H23" s="110"/>
      <c r="I23" s="109"/>
      <c r="J23" s="108">
        <f t="shared" si="0"/>
        <v>2714</v>
      </c>
      <c r="K23" s="107">
        <f t="shared" si="0"/>
        <v>1891746</v>
      </c>
      <c r="L23" s="106"/>
    </row>
    <row r="24" spans="2:12" ht="20.25" customHeight="1">
      <c r="B24" s="21">
        <v>15</v>
      </c>
      <c r="C24" s="22" t="s">
        <v>20</v>
      </c>
      <c r="D24" s="120">
        <f>'１０月'!J24</f>
        <v>25611</v>
      </c>
      <c r="E24" s="116">
        <f>'１０月'!K24</f>
        <v>3112446</v>
      </c>
      <c r="F24" s="105"/>
      <c r="G24" s="104"/>
      <c r="H24" s="103"/>
      <c r="I24" s="102"/>
      <c r="J24" s="101">
        <f t="shared" si="0"/>
        <v>25611</v>
      </c>
      <c r="K24" s="100">
        <f t="shared" si="0"/>
        <v>3112446</v>
      </c>
      <c r="L24" s="99"/>
    </row>
    <row r="25" spans="2:12" ht="20.25" customHeight="1">
      <c r="B25" s="21">
        <v>16</v>
      </c>
      <c r="C25" s="22" t="s">
        <v>21</v>
      </c>
      <c r="D25" s="120">
        <f>'１０月'!J25</f>
        <v>6954</v>
      </c>
      <c r="E25" s="116">
        <f>'１０月'!K25</f>
        <v>3824892</v>
      </c>
      <c r="F25" s="105"/>
      <c r="G25" s="104"/>
      <c r="H25" s="103"/>
      <c r="I25" s="102"/>
      <c r="J25" s="101">
        <f t="shared" si="0"/>
        <v>6954</v>
      </c>
      <c r="K25" s="100">
        <f t="shared" si="0"/>
        <v>3824892</v>
      </c>
      <c r="L25" s="99"/>
    </row>
    <row r="26" spans="2:12" ht="20.25" customHeight="1">
      <c r="B26" s="21">
        <v>17</v>
      </c>
      <c r="C26" s="22" t="s">
        <v>22</v>
      </c>
      <c r="D26" s="120">
        <f>'１０月'!J26</f>
        <v>18443</v>
      </c>
      <c r="E26" s="116">
        <f>'１０月'!K26</f>
        <v>6633572</v>
      </c>
      <c r="F26" s="105"/>
      <c r="G26" s="104"/>
      <c r="H26" s="103"/>
      <c r="I26" s="102"/>
      <c r="J26" s="101">
        <f t="shared" si="0"/>
        <v>18443</v>
      </c>
      <c r="K26" s="100">
        <f t="shared" si="0"/>
        <v>6633572</v>
      </c>
      <c r="L26" s="99"/>
    </row>
    <row r="27" spans="2:12" ht="20.25" customHeight="1">
      <c r="B27" s="21">
        <v>18</v>
      </c>
      <c r="C27" s="22" t="s">
        <v>51</v>
      </c>
      <c r="D27" s="120">
        <f>'１０月'!J27</f>
        <v>2061</v>
      </c>
      <c r="E27" s="116">
        <f>'１０月'!K27</f>
        <v>322000</v>
      </c>
      <c r="F27" s="105"/>
      <c r="G27" s="104"/>
      <c r="H27" s="103"/>
      <c r="I27" s="102"/>
      <c r="J27" s="101">
        <f t="shared" si="0"/>
        <v>2061</v>
      </c>
      <c r="K27" s="100">
        <f t="shared" si="0"/>
        <v>322000</v>
      </c>
      <c r="L27" s="99"/>
    </row>
    <row r="28" spans="2:12" ht="20.25" customHeight="1">
      <c r="B28" s="21">
        <v>19</v>
      </c>
      <c r="C28" s="22" t="s">
        <v>23</v>
      </c>
      <c r="D28" s="120">
        <f>'１０月'!J28</f>
        <v>750</v>
      </c>
      <c r="E28" s="116">
        <f>'１０月'!K28</f>
        <v>82500</v>
      </c>
      <c r="F28" s="105"/>
      <c r="G28" s="104"/>
      <c r="H28" s="103"/>
      <c r="I28" s="102"/>
      <c r="J28" s="101">
        <f t="shared" si="0"/>
        <v>750</v>
      </c>
      <c r="K28" s="100">
        <f t="shared" si="0"/>
        <v>82500</v>
      </c>
      <c r="L28" s="99"/>
    </row>
    <row r="29" spans="2:12" s="60" customFormat="1" ht="20.25" customHeight="1">
      <c r="B29" s="61">
        <v>20</v>
      </c>
      <c r="C29" s="62" t="s">
        <v>24</v>
      </c>
      <c r="D29" s="120">
        <f>'１０月'!J29</f>
        <v>1043</v>
      </c>
      <c r="E29" s="116">
        <f>'１０月'!K29</f>
        <v>304751</v>
      </c>
      <c r="F29" s="74"/>
      <c r="G29" s="111"/>
      <c r="H29" s="110"/>
      <c r="I29" s="109"/>
      <c r="J29" s="108">
        <f t="shared" si="0"/>
        <v>1043</v>
      </c>
      <c r="K29" s="107">
        <f t="shared" si="0"/>
        <v>304751</v>
      </c>
      <c r="L29" s="106"/>
    </row>
    <row r="30" spans="2:12" s="60" customFormat="1" ht="20.25" customHeight="1">
      <c r="B30" s="61">
        <v>21</v>
      </c>
      <c r="C30" s="62" t="s">
        <v>25</v>
      </c>
      <c r="D30" s="120">
        <f>'１０月'!J30</f>
        <v>1722</v>
      </c>
      <c r="E30" s="116">
        <f>'１０月'!K30</f>
        <v>825516</v>
      </c>
      <c r="F30" s="112"/>
      <c r="G30" s="111"/>
      <c r="H30" s="110"/>
      <c r="I30" s="109"/>
      <c r="J30" s="108">
        <f t="shared" si="0"/>
        <v>1722</v>
      </c>
      <c r="K30" s="107">
        <f t="shared" si="0"/>
        <v>825516</v>
      </c>
      <c r="L30" s="106"/>
    </row>
    <row r="31" spans="2:12" s="60" customFormat="1" ht="20.25" customHeight="1">
      <c r="B31" s="61">
        <v>22</v>
      </c>
      <c r="C31" s="62" t="s">
        <v>26</v>
      </c>
      <c r="D31" s="120">
        <f>'１０月'!J31</f>
        <v>0</v>
      </c>
      <c r="E31" s="116">
        <f>'１０月'!K31</f>
        <v>0</v>
      </c>
      <c r="F31" s="112"/>
      <c r="G31" s="111"/>
      <c r="H31" s="110"/>
      <c r="I31" s="109"/>
      <c r="J31" s="108">
        <f t="shared" si="0"/>
        <v>0</v>
      </c>
      <c r="K31" s="107">
        <f t="shared" si="0"/>
        <v>0</v>
      </c>
      <c r="L31" s="106"/>
    </row>
    <row r="32" spans="2:12" s="60" customFormat="1" ht="20.25" customHeight="1">
      <c r="B32" s="61">
        <v>23</v>
      </c>
      <c r="C32" s="62" t="s">
        <v>27</v>
      </c>
      <c r="D32" s="120">
        <f>'１０月'!J32</f>
        <v>20</v>
      </c>
      <c r="E32" s="116">
        <f>'１０月'!K32</f>
        <v>15200</v>
      </c>
      <c r="F32" s="112"/>
      <c r="G32" s="111"/>
      <c r="H32" s="110"/>
      <c r="I32" s="109"/>
      <c r="J32" s="108">
        <f t="shared" si="0"/>
        <v>20</v>
      </c>
      <c r="K32" s="107">
        <f t="shared" si="0"/>
        <v>15200</v>
      </c>
      <c r="L32" s="106"/>
    </row>
    <row r="33" spans="2:12" s="60" customFormat="1" ht="20.25" customHeight="1">
      <c r="B33" s="61">
        <v>24</v>
      </c>
      <c r="C33" s="62" t="s">
        <v>28</v>
      </c>
      <c r="D33" s="120">
        <f>'１０月'!J33</f>
        <v>22440</v>
      </c>
      <c r="E33" s="116">
        <f>'１０月'!K33</f>
        <v>6911889</v>
      </c>
      <c r="F33" s="112"/>
      <c r="G33" s="111"/>
      <c r="H33" s="72"/>
      <c r="I33" s="109"/>
      <c r="J33" s="108">
        <f t="shared" si="0"/>
        <v>22440</v>
      </c>
      <c r="K33" s="107">
        <f t="shared" si="0"/>
        <v>6911889</v>
      </c>
      <c r="L33" s="106"/>
    </row>
    <row r="34" spans="2:12" s="60" customFormat="1" ht="32.25" customHeight="1">
      <c r="B34" s="61">
        <v>25</v>
      </c>
      <c r="C34" s="62" t="s">
        <v>29</v>
      </c>
      <c r="D34" s="120">
        <f>'１０月'!J34</f>
        <v>111251</v>
      </c>
      <c r="E34" s="116">
        <f>'１０月'!K34</f>
        <v>8357432</v>
      </c>
      <c r="F34" s="112"/>
      <c r="G34" s="111"/>
      <c r="H34" s="110"/>
      <c r="I34" s="109"/>
      <c r="J34" s="108">
        <f t="shared" si="0"/>
        <v>111251</v>
      </c>
      <c r="K34" s="107">
        <f t="shared" si="0"/>
        <v>8357432</v>
      </c>
      <c r="L34" s="106"/>
    </row>
    <row r="35" spans="2:12" s="60" customFormat="1" ht="20.25" customHeight="1">
      <c r="B35" s="61">
        <v>26</v>
      </c>
      <c r="C35" s="62" t="s">
        <v>30</v>
      </c>
      <c r="D35" s="120">
        <f>'１０月'!J35</f>
        <v>4578</v>
      </c>
      <c r="E35" s="116">
        <f>'１０月'!K35</f>
        <v>3377522</v>
      </c>
      <c r="F35" s="112"/>
      <c r="G35" s="111"/>
      <c r="H35" s="110"/>
      <c r="I35" s="109"/>
      <c r="J35" s="108">
        <f t="shared" si="0"/>
        <v>4578</v>
      </c>
      <c r="K35" s="107">
        <f t="shared" si="0"/>
        <v>3377522</v>
      </c>
      <c r="L35" s="106"/>
    </row>
    <row r="36" spans="2:12" s="60" customFormat="1" ht="20.25" customHeight="1">
      <c r="B36" s="61">
        <v>27</v>
      </c>
      <c r="C36" s="62" t="s">
        <v>31</v>
      </c>
      <c r="D36" s="120">
        <f>'１０月'!J36</f>
        <v>255</v>
      </c>
      <c r="E36" s="116">
        <f>'１０月'!K36</f>
        <v>50960</v>
      </c>
      <c r="F36" s="112"/>
      <c r="G36" s="111"/>
      <c r="H36" s="110"/>
      <c r="I36" s="109"/>
      <c r="J36" s="108">
        <f t="shared" si="0"/>
        <v>255</v>
      </c>
      <c r="K36" s="107">
        <f t="shared" si="0"/>
        <v>50960</v>
      </c>
      <c r="L36" s="106"/>
    </row>
    <row r="37" spans="2:12" s="60" customFormat="1" ht="20.25" customHeight="1">
      <c r="B37" s="61">
        <v>28</v>
      </c>
      <c r="C37" s="62" t="s">
        <v>33</v>
      </c>
      <c r="D37" s="120">
        <f>'１０月'!J37</f>
        <v>0</v>
      </c>
      <c r="E37" s="116">
        <f>'１０月'!K37</f>
        <v>0</v>
      </c>
      <c r="F37" s="112"/>
      <c r="G37" s="111"/>
      <c r="H37" s="110"/>
      <c r="I37" s="109"/>
      <c r="J37" s="108">
        <f t="shared" si="0"/>
        <v>0</v>
      </c>
      <c r="K37" s="107">
        <f t="shared" si="0"/>
        <v>0</v>
      </c>
      <c r="L37" s="106"/>
    </row>
    <row r="38" spans="2:12" s="60" customFormat="1" ht="20.25" customHeight="1">
      <c r="B38" s="61">
        <v>29</v>
      </c>
      <c r="C38" s="62" t="s">
        <v>32</v>
      </c>
      <c r="D38" s="120">
        <f>'１０月'!J38</f>
        <v>756</v>
      </c>
      <c r="E38" s="116">
        <f>'１０月'!K38</f>
        <v>155560</v>
      </c>
      <c r="F38" s="112"/>
      <c r="G38" s="111"/>
      <c r="H38" s="110"/>
      <c r="I38" s="109"/>
      <c r="J38" s="108">
        <f t="shared" si="0"/>
        <v>756</v>
      </c>
      <c r="K38" s="107">
        <f t="shared" si="0"/>
        <v>155560</v>
      </c>
      <c r="L38" s="106"/>
    </row>
    <row r="39" spans="2:12" s="60" customFormat="1" ht="20.25" customHeight="1">
      <c r="B39" s="61">
        <v>30</v>
      </c>
      <c r="C39" s="62" t="s">
        <v>34</v>
      </c>
      <c r="D39" s="120">
        <f>'１０月'!J39</f>
        <v>1124</v>
      </c>
      <c r="E39" s="116">
        <f>'１０月'!K39</f>
        <v>1236400</v>
      </c>
      <c r="F39" s="112"/>
      <c r="G39" s="111"/>
      <c r="H39" s="110"/>
      <c r="I39" s="109"/>
      <c r="J39" s="108">
        <f t="shared" si="0"/>
        <v>1124</v>
      </c>
      <c r="K39" s="107">
        <f t="shared" si="0"/>
        <v>1236400</v>
      </c>
      <c r="L39" s="106"/>
    </row>
    <row r="40" spans="2:12" s="60" customFormat="1" ht="20.25" customHeight="1">
      <c r="B40" s="61">
        <v>31</v>
      </c>
      <c r="C40" s="62" t="s">
        <v>35</v>
      </c>
      <c r="D40" s="120">
        <f>'１０月'!J40</f>
        <v>0</v>
      </c>
      <c r="E40" s="116">
        <f>'１０月'!K40</f>
        <v>0</v>
      </c>
      <c r="F40" s="112"/>
      <c r="G40" s="111"/>
      <c r="H40" s="110"/>
      <c r="I40" s="109"/>
      <c r="J40" s="108">
        <f t="shared" si="0"/>
        <v>0</v>
      </c>
      <c r="K40" s="107">
        <f t="shared" si="0"/>
        <v>0</v>
      </c>
      <c r="L40" s="106"/>
    </row>
    <row r="41" spans="2:12" s="60" customFormat="1" ht="20.25" customHeight="1">
      <c r="B41" s="61">
        <v>32</v>
      </c>
      <c r="C41" s="62" t="s">
        <v>36</v>
      </c>
      <c r="D41" s="120">
        <f>'１０月'!J41</f>
        <v>0</v>
      </c>
      <c r="E41" s="116">
        <f>'１０月'!K41</f>
        <v>0</v>
      </c>
      <c r="F41" s="112"/>
      <c r="G41" s="111"/>
      <c r="H41" s="110"/>
      <c r="I41" s="109"/>
      <c r="J41" s="108">
        <f t="shared" si="0"/>
        <v>0</v>
      </c>
      <c r="K41" s="107">
        <f t="shared" si="0"/>
        <v>0</v>
      </c>
      <c r="L41" s="106"/>
    </row>
    <row r="42" spans="2:12" s="60" customFormat="1" ht="20.25" customHeight="1">
      <c r="B42" s="61">
        <v>33</v>
      </c>
      <c r="C42" s="62" t="s">
        <v>37</v>
      </c>
      <c r="D42" s="120">
        <f>'１０月'!J42</f>
        <v>46487</v>
      </c>
      <c r="E42" s="116">
        <f>'１０月'!K42</f>
        <v>7954790</v>
      </c>
      <c r="F42" s="112"/>
      <c r="G42" s="111"/>
      <c r="H42" s="110"/>
      <c r="I42" s="109"/>
      <c r="J42" s="108">
        <f t="shared" si="0"/>
        <v>46487</v>
      </c>
      <c r="K42" s="107">
        <f t="shared" si="0"/>
        <v>7954790</v>
      </c>
      <c r="L42" s="106"/>
    </row>
    <row r="43" spans="2:12" s="60" customFormat="1" ht="33" customHeight="1">
      <c r="B43" s="61">
        <v>34</v>
      </c>
      <c r="C43" s="62" t="s">
        <v>38</v>
      </c>
      <c r="D43" s="120">
        <f>'１０月'!J43</f>
        <v>7947</v>
      </c>
      <c r="E43" s="116">
        <f>'１０月'!K43</f>
        <v>2699763</v>
      </c>
      <c r="F43" s="112"/>
      <c r="G43" s="111"/>
      <c r="H43" s="110"/>
      <c r="I43" s="109"/>
      <c r="J43" s="108">
        <f t="shared" si="0"/>
        <v>7947</v>
      </c>
      <c r="K43" s="107">
        <f t="shared" si="0"/>
        <v>2699763</v>
      </c>
      <c r="L43" s="106"/>
    </row>
    <row r="44" spans="2:12" s="60" customFormat="1" ht="20.25" customHeight="1">
      <c r="B44" s="61">
        <v>35</v>
      </c>
      <c r="C44" s="62" t="s">
        <v>39</v>
      </c>
      <c r="D44" s="120">
        <f>'１０月'!J44</f>
        <v>20</v>
      </c>
      <c r="E44" s="116">
        <f>'１０月'!K44</f>
        <v>114810</v>
      </c>
      <c r="F44" s="112"/>
      <c r="G44" s="111"/>
      <c r="H44" s="110"/>
      <c r="I44" s="109"/>
      <c r="J44" s="108">
        <f t="shared" si="0"/>
        <v>20</v>
      </c>
      <c r="K44" s="107">
        <f t="shared" si="0"/>
        <v>114810</v>
      </c>
      <c r="L44" s="106"/>
    </row>
    <row r="45" spans="2:12" s="60" customFormat="1" ht="20.25" customHeight="1">
      <c r="B45" s="61">
        <v>36</v>
      </c>
      <c r="C45" s="62" t="s">
        <v>40</v>
      </c>
      <c r="D45" s="120">
        <f>'１０月'!J45</f>
        <v>3571</v>
      </c>
      <c r="E45" s="116">
        <f>'１０月'!K45</f>
        <v>2125617</v>
      </c>
      <c r="F45" s="112"/>
      <c r="G45" s="111"/>
      <c r="H45" s="110"/>
      <c r="I45" s="109"/>
      <c r="J45" s="108">
        <f t="shared" si="0"/>
        <v>3571</v>
      </c>
      <c r="K45" s="107">
        <f t="shared" si="0"/>
        <v>2125617</v>
      </c>
      <c r="L45" s="106"/>
    </row>
    <row r="46" spans="2:12" ht="20.25" customHeight="1">
      <c r="B46" s="21">
        <v>37</v>
      </c>
      <c r="C46" s="22" t="s">
        <v>41</v>
      </c>
      <c r="D46" s="120">
        <f>'１０月'!J46</f>
        <v>7770</v>
      </c>
      <c r="E46" s="116">
        <f>'１０月'!K46</f>
        <v>1248143</v>
      </c>
      <c r="F46" s="105"/>
      <c r="G46" s="104"/>
      <c r="H46" s="103"/>
      <c r="I46" s="102"/>
      <c r="J46" s="101">
        <f t="shared" si="0"/>
        <v>7770</v>
      </c>
      <c r="K46" s="100">
        <f t="shared" si="0"/>
        <v>1248143</v>
      </c>
      <c r="L46" s="99"/>
    </row>
    <row r="47" spans="2:12" ht="32.25" customHeight="1">
      <c r="B47" s="21">
        <v>38</v>
      </c>
      <c r="C47" s="22" t="s">
        <v>42</v>
      </c>
      <c r="D47" s="120">
        <f>'１０月'!J47</f>
        <v>2531</v>
      </c>
      <c r="E47" s="116">
        <f>'１０月'!K47</f>
        <v>1661397</v>
      </c>
      <c r="F47" s="105"/>
      <c r="G47" s="104"/>
      <c r="H47" s="103"/>
      <c r="I47" s="102"/>
      <c r="J47" s="101">
        <f t="shared" si="0"/>
        <v>2531</v>
      </c>
      <c r="K47" s="100">
        <f t="shared" si="0"/>
        <v>1661397</v>
      </c>
      <c r="L47" s="99"/>
    </row>
    <row r="48" spans="2:12" ht="20.25" customHeight="1">
      <c r="B48" s="21">
        <v>39</v>
      </c>
      <c r="C48" s="22" t="s">
        <v>43</v>
      </c>
      <c r="D48" s="120">
        <f>'１０月'!J48</f>
        <v>0</v>
      </c>
      <c r="E48" s="116">
        <f>'１０月'!K48</f>
        <v>0</v>
      </c>
      <c r="F48" s="105"/>
      <c r="G48" s="104"/>
      <c r="H48" s="103"/>
      <c r="I48" s="102"/>
      <c r="J48" s="101">
        <f t="shared" si="0"/>
        <v>0</v>
      </c>
      <c r="K48" s="100">
        <f t="shared" si="0"/>
        <v>0</v>
      </c>
      <c r="L48" s="99"/>
    </row>
    <row r="49" spans="2:12" ht="20.25" customHeight="1" thickBot="1">
      <c r="B49" s="23">
        <v>40</v>
      </c>
      <c r="C49" s="24" t="s">
        <v>50</v>
      </c>
      <c r="D49" s="120">
        <f>'１０月'!J49</f>
        <v>7756</v>
      </c>
      <c r="E49" s="97">
        <f>'１０月'!K49</f>
        <v>2630311</v>
      </c>
      <c r="F49" s="98"/>
      <c r="G49" s="97"/>
      <c r="H49" s="96"/>
      <c r="I49" s="95"/>
      <c r="J49" s="94">
        <f t="shared" si="0"/>
        <v>7756</v>
      </c>
      <c r="K49" s="93">
        <f t="shared" si="0"/>
        <v>2630311</v>
      </c>
      <c r="L49" s="92"/>
    </row>
    <row r="50" spans="2:12" ht="21" customHeight="1" thickBot="1" thickTop="1">
      <c r="B50" s="140" t="s">
        <v>46</v>
      </c>
      <c r="C50" s="141"/>
      <c r="D50" s="91">
        <f aca="true" t="shared" si="1" ref="D50:I50">SUM(D10:D49)</f>
        <v>319732</v>
      </c>
      <c r="E50" s="90">
        <f t="shared" si="1"/>
        <v>65925944</v>
      </c>
      <c r="F50" s="89">
        <f t="shared" si="1"/>
        <v>0</v>
      </c>
      <c r="G50" s="87">
        <f t="shared" si="1"/>
        <v>0</v>
      </c>
      <c r="H50" s="89">
        <f t="shared" si="1"/>
        <v>0</v>
      </c>
      <c r="I50" s="87">
        <f t="shared" si="1"/>
        <v>0</v>
      </c>
      <c r="J50" s="88">
        <f t="shared" si="0"/>
        <v>319732</v>
      </c>
      <c r="K50" s="87">
        <f t="shared" si="0"/>
        <v>65925944</v>
      </c>
      <c r="L50" s="86"/>
    </row>
    <row r="51" spans="10:11" ht="13.5">
      <c r="J51" s="85"/>
      <c r="K51" s="85"/>
    </row>
    <row r="52" spans="10:11" ht="13.5">
      <c r="J52" s="84"/>
      <c r="K52" s="84"/>
    </row>
    <row r="53" spans="10:11" ht="13.5">
      <c r="J53" s="77"/>
      <c r="K53" s="77"/>
    </row>
    <row r="55" spans="4:11" ht="13.5">
      <c r="D55" s="75"/>
      <c r="E55" s="75"/>
      <c r="F55" s="75"/>
      <c r="G55" s="75"/>
      <c r="H55" s="75"/>
      <c r="I55" s="75"/>
      <c r="J55" s="82"/>
      <c r="K55" s="82"/>
    </row>
    <row r="56" spans="4:11" ht="13.5">
      <c r="D56" s="75"/>
      <c r="E56" s="75"/>
      <c r="F56" s="75"/>
      <c r="G56" s="75"/>
      <c r="H56" s="75"/>
      <c r="I56" s="75"/>
      <c r="J56" s="82"/>
      <c r="K56" s="82"/>
    </row>
    <row r="57" spans="4:11" ht="13.5">
      <c r="D57" s="80"/>
      <c r="E57" s="80"/>
      <c r="F57" s="80"/>
      <c r="G57" s="80"/>
      <c r="H57" s="80"/>
      <c r="I57" s="80"/>
      <c r="J57" s="80"/>
      <c r="K57" s="80"/>
    </row>
    <row r="58" spans="4:11" ht="13.5">
      <c r="D58" s="80"/>
      <c r="E58" s="80"/>
      <c r="F58" s="80"/>
      <c r="G58" s="80"/>
      <c r="H58" s="80"/>
      <c r="I58" s="80"/>
      <c r="J58" s="80"/>
      <c r="K58" s="80"/>
    </row>
    <row r="59" spans="4:11" ht="13.5">
      <c r="D59" s="80"/>
      <c r="E59" s="80"/>
      <c r="F59" s="80"/>
      <c r="G59" s="80"/>
      <c r="H59" s="80"/>
      <c r="I59" s="80"/>
      <c r="J59" s="83"/>
      <c r="K59" s="83"/>
    </row>
    <row r="60" spans="4:11" ht="13.5">
      <c r="D60" s="80"/>
      <c r="E60" s="80"/>
      <c r="F60" s="80"/>
      <c r="G60" s="80"/>
      <c r="H60" s="80"/>
      <c r="I60" s="80"/>
      <c r="J60" s="83"/>
      <c r="K60" s="83"/>
    </row>
    <row r="61" spans="4:11" ht="13.5">
      <c r="D61" s="80"/>
      <c r="E61" s="80"/>
      <c r="F61" s="80"/>
      <c r="G61" s="80"/>
      <c r="H61" s="80"/>
      <c r="I61" s="80"/>
      <c r="J61" s="80"/>
      <c r="K61" s="80"/>
    </row>
    <row r="62" spans="4:11" ht="13.5">
      <c r="D62" s="75"/>
      <c r="E62" s="75"/>
      <c r="F62" s="75"/>
      <c r="G62" s="75"/>
      <c r="H62" s="75"/>
      <c r="I62" s="75"/>
      <c r="J62" s="75"/>
      <c r="K62" s="75"/>
    </row>
    <row r="63" spans="4:11" ht="13.5">
      <c r="D63" s="75"/>
      <c r="E63" s="75"/>
      <c r="F63" s="75"/>
      <c r="G63" s="75"/>
      <c r="H63" s="75"/>
      <c r="I63" s="75"/>
      <c r="J63" s="82"/>
      <c r="K63" s="82"/>
    </row>
    <row r="64" spans="4:11" ht="13.5">
      <c r="D64" s="75"/>
      <c r="E64" s="75"/>
      <c r="F64" s="75"/>
      <c r="G64" s="75"/>
      <c r="H64" s="75"/>
      <c r="I64" s="75"/>
      <c r="J64" s="82"/>
      <c r="K64" s="82"/>
    </row>
    <row r="65" spans="4:11" ht="13.5">
      <c r="D65" s="75"/>
      <c r="E65" s="75"/>
      <c r="F65" s="75"/>
      <c r="G65" s="75"/>
      <c r="H65" s="75"/>
      <c r="I65" s="75"/>
      <c r="J65" s="75"/>
      <c r="K65" s="75"/>
    </row>
  </sheetData>
  <sheetProtection/>
  <mergeCells count="9">
    <mergeCell ref="B50:C50"/>
    <mergeCell ref="B2:L2"/>
    <mergeCell ref="J4:L4"/>
    <mergeCell ref="J5:L5"/>
    <mergeCell ref="D7:E7"/>
    <mergeCell ref="F7:G7"/>
    <mergeCell ref="H7:I7"/>
    <mergeCell ref="J7:K7"/>
    <mergeCell ref="L7:L9"/>
  </mergeCells>
  <printOptions horizontalCentered="1"/>
  <pageMargins left="0.3937007874015748" right="0.3937007874015748" top="0.5905511811023623" bottom="0.3937007874015748" header="0" footer="0"/>
  <pageSetup fitToHeight="1" fitToWidth="1" horizontalDpi="300" verticalDpi="300" orientation="portrait" paperSize="9" scale="82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65"/>
  <sheetViews>
    <sheetView zoomScalePageLayoutView="0" workbookViewId="0" topLeftCell="A1">
      <pane xSplit="9" ySplit="10" topLeftCell="J47" activePane="bottomRight" state="frozen"/>
      <selection pane="topLeft" activeCell="A1" sqref="A1"/>
      <selection pane="topRight" activeCell="J1" sqref="J1"/>
      <selection pane="bottomLeft" activeCell="A11" sqref="A11"/>
      <selection pane="bottomRight" activeCell="E49" sqref="E49"/>
    </sheetView>
  </sheetViews>
  <sheetFormatPr defaultColWidth="9.00390625" defaultRowHeight="13.5"/>
  <cols>
    <col min="1" max="1" width="4.375" style="1" customWidth="1"/>
    <col min="2" max="2" width="3.375" style="1" customWidth="1"/>
    <col min="3" max="3" width="15.125" style="1" customWidth="1"/>
    <col min="4" max="4" width="10.00390625" style="1" customWidth="1"/>
    <col min="5" max="5" width="11.25390625" style="1" customWidth="1"/>
    <col min="6" max="6" width="10.00390625" style="1" customWidth="1"/>
    <col min="7" max="7" width="11.25390625" style="1" customWidth="1"/>
    <col min="8" max="8" width="10.00390625" style="1" customWidth="1"/>
    <col min="9" max="9" width="11.25390625" style="1" customWidth="1"/>
    <col min="10" max="10" width="10.00390625" style="1" customWidth="1"/>
    <col min="11" max="11" width="11.25390625" style="1" customWidth="1"/>
    <col min="12" max="12" width="9.375" style="1" customWidth="1"/>
    <col min="13" max="13" width="4.00390625" style="1" customWidth="1"/>
    <col min="14" max="16384" width="9.00390625" style="1" customWidth="1"/>
  </cols>
  <sheetData>
    <row r="2" spans="2:12" ht="18.75" customHeight="1">
      <c r="B2" s="142" t="s">
        <v>47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2:12" ht="15" customHeight="1">
      <c r="B3" s="28" t="str">
        <f>'１月'!$B$3</f>
        <v>平成２８年</v>
      </c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2:12" ht="18" customHeight="1">
      <c r="B4" s="27"/>
      <c r="C4" s="54" t="s">
        <v>73</v>
      </c>
      <c r="E4" s="28" t="s">
        <v>54</v>
      </c>
      <c r="I4" s="121" t="s">
        <v>52</v>
      </c>
      <c r="J4" s="152" t="s">
        <v>57</v>
      </c>
      <c r="K4" s="152"/>
      <c r="L4" s="152"/>
    </row>
    <row r="5" spans="3:12" ht="18" customHeight="1">
      <c r="C5" s="1" t="s">
        <v>59</v>
      </c>
      <c r="I5" s="2" t="s">
        <v>53</v>
      </c>
      <c r="J5" s="148"/>
      <c r="K5" s="148"/>
      <c r="L5" s="148"/>
    </row>
    <row r="6" spans="5:12" ht="18" customHeight="1" thickBot="1">
      <c r="E6" s="1" t="s">
        <v>58</v>
      </c>
      <c r="G6" s="138"/>
      <c r="I6" s="2"/>
      <c r="J6" s="55"/>
      <c r="K6" s="55"/>
      <c r="L6" s="55"/>
    </row>
    <row r="7" spans="2:12" ht="18.75" customHeight="1">
      <c r="B7" s="3"/>
      <c r="C7" s="4" t="s">
        <v>48</v>
      </c>
      <c r="D7" s="143" t="s">
        <v>0</v>
      </c>
      <c r="E7" s="144"/>
      <c r="F7" s="145" t="s">
        <v>1</v>
      </c>
      <c r="G7" s="146"/>
      <c r="H7" s="144" t="s">
        <v>2</v>
      </c>
      <c r="I7" s="144"/>
      <c r="J7" s="145" t="s">
        <v>3</v>
      </c>
      <c r="K7" s="146"/>
      <c r="L7" s="149" t="s">
        <v>4</v>
      </c>
    </row>
    <row r="8" spans="2:12" ht="18.75" customHeight="1">
      <c r="B8" s="5"/>
      <c r="C8" s="6"/>
      <c r="D8" s="7" t="s">
        <v>44</v>
      </c>
      <c r="E8" s="8" t="s">
        <v>45</v>
      </c>
      <c r="F8" s="9" t="s">
        <v>44</v>
      </c>
      <c r="G8" s="10" t="s">
        <v>45</v>
      </c>
      <c r="H8" s="11" t="s">
        <v>44</v>
      </c>
      <c r="I8" s="8" t="s">
        <v>45</v>
      </c>
      <c r="J8" s="9" t="s">
        <v>44</v>
      </c>
      <c r="K8" s="10" t="s">
        <v>45</v>
      </c>
      <c r="L8" s="150"/>
    </row>
    <row r="9" spans="2:12" ht="18.75" customHeight="1" thickBot="1">
      <c r="B9" s="12" t="s">
        <v>49</v>
      </c>
      <c r="C9" s="13"/>
      <c r="D9" s="14" t="s">
        <v>55</v>
      </c>
      <c r="E9" s="15" t="s">
        <v>5</v>
      </c>
      <c r="F9" s="16" t="s">
        <v>55</v>
      </c>
      <c r="G9" s="17" t="s">
        <v>5</v>
      </c>
      <c r="H9" s="18" t="s">
        <v>55</v>
      </c>
      <c r="I9" s="15" t="s">
        <v>5</v>
      </c>
      <c r="J9" s="16" t="s">
        <v>55</v>
      </c>
      <c r="K9" s="17" t="s">
        <v>5</v>
      </c>
      <c r="L9" s="151"/>
    </row>
    <row r="10" spans="2:14" ht="20.25" customHeight="1" thickTop="1">
      <c r="B10" s="19">
        <v>1</v>
      </c>
      <c r="C10" s="20" t="s">
        <v>6</v>
      </c>
      <c r="D10" s="120">
        <f>'１１月'!J10</f>
        <v>35356</v>
      </c>
      <c r="E10" s="116">
        <f>'１１月'!K10</f>
        <v>9251364</v>
      </c>
      <c r="F10" s="119"/>
      <c r="G10" s="118"/>
      <c r="H10" s="117"/>
      <c r="I10" s="116"/>
      <c r="J10" s="115">
        <f aca="true" t="shared" si="0" ref="J10:K50">D10+F10-H10</f>
        <v>35356</v>
      </c>
      <c r="K10" s="114">
        <f t="shared" si="0"/>
        <v>9251364</v>
      </c>
      <c r="L10" s="113"/>
      <c r="N10" s="60"/>
    </row>
    <row r="11" spans="2:12" ht="20.25" customHeight="1">
      <c r="B11" s="21">
        <v>2</v>
      </c>
      <c r="C11" s="22" t="s">
        <v>7</v>
      </c>
      <c r="D11" s="120">
        <f>'１１月'!J11</f>
        <v>1228</v>
      </c>
      <c r="E11" s="116">
        <f>'１１月'!K11</f>
        <v>137746</v>
      </c>
      <c r="F11" s="105"/>
      <c r="G11" s="104"/>
      <c r="H11" s="103"/>
      <c r="I11" s="102"/>
      <c r="J11" s="101">
        <f t="shared" si="0"/>
        <v>1228</v>
      </c>
      <c r="K11" s="100">
        <f t="shared" si="0"/>
        <v>137746</v>
      </c>
      <c r="L11" s="99"/>
    </row>
    <row r="12" spans="2:12" ht="20.25" customHeight="1">
      <c r="B12" s="21">
        <v>3</v>
      </c>
      <c r="C12" s="22" t="s">
        <v>8</v>
      </c>
      <c r="D12" s="120">
        <f>'１１月'!J12</f>
        <v>0</v>
      </c>
      <c r="E12" s="116">
        <f>'１１月'!K12</f>
        <v>0</v>
      </c>
      <c r="F12" s="105"/>
      <c r="G12" s="104"/>
      <c r="H12" s="103"/>
      <c r="I12" s="102"/>
      <c r="J12" s="101">
        <f t="shared" si="0"/>
        <v>0</v>
      </c>
      <c r="K12" s="100">
        <f t="shared" si="0"/>
        <v>0</v>
      </c>
      <c r="L12" s="99"/>
    </row>
    <row r="13" spans="2:12" ht="20.25" customHeight="1">
      <c r="B13" s="21">
        <v>4</v>
      </c>
      <c r="C13" s="22" t="s">
        <v>9</v>
      </c>
      <c r="D13" s="120">
        <f>'１１月'!J13</f>
        <v>966</v>
      </c>
      <c r="E13" s="116">
        <f>'１１月'!K13</f>
        <v>126812</v>
      </c>
      <c r="F13" s="105"/>
      <c r="G13" s="104"/>
      <c r="H13" s="103"/>
      <c r="I13" s="102"/>
      <c r="J13" s="101">
        <f t="shared" si="0"/>
        <v>966</v>
      </c>
      <c r="K13" s="100">
        <f t="shared" si="0"/>
        <v>126812</v>
      </c>
      <c r="L13" s="99"/>
    </row>
    <row r="14" spans="2:12" ht="20.25" customHeight="1">
      <c r="B14" s="21">
        <v>5</v>
      </c>
      <c r="C14" s="22" t="s">
        <v>10</v>
      </c>
      <c r="D14" s="120">
        <f>'１１月'!J14</f>
        <v>0</v>
      </c>
      <c r="E14" s="116">
        <f>'１１月'!K14</f>
        <v>0</v>
      </c>
      <c r="F14" s="105"/>
      <c r="G14" s="104"/>
      <c r="H14" s="103"/>
      <c r="I14" s="102"/>
      <c r="J14" s="101">
        <f t="shared" si="0"/>
        <v>0</v>
      </c>
      <c r="K14" s="100">
        <f t="shared" si="0"/>
        <v>0</v>
      </c>
      <c r="L14" s="99"/>
    </row>
    <row r="15" spans="2:12" ht="20.25" customHeight="1">
      <c r="B15" s="21">
        <v>6</v>
      </c>
      <c r="C15" s="22" t="s">
        <v>11</v>
      </c>
      <c r="D15" s="120">
        <f>'１１月'!J15</f>
        <v>0</v>
      </c>
      <c r="E15" s="116">
        <f>'１１月'!K15</f>
        <v>0</v>
      </c>
      <c r="F15" s="105"/>
      <c r="G15" s="104"/>
      <c r="H15" s="103"/>
      <c r="I15" s="102"/>
      <c r="J15" s="101">
        <f t="shared" si="0"/>
        <v>0</v>
      </c>
      <c r="K15" s="100">
        <f t="shared" si="0"/>
        <v>0</v>
      </c>
      <c r="L15" s="99"/>
    </row>
    <row r="16" spans="2:12" ht="20.25" customHeight="1">
      <c r="B16" s="21">
        <v>7</v>
      </c>
      <c r="C16" s="22" t="s">
        <v>12</v>
      </c>
      <c r="D16" s="120">
        <f>'１１月'!J16</f>
        <v>0</v>
      </c>
      <c r="E16" s="116">
        <f>'１１月'!K16</f>
        <v>0</v>
      </c>
      <c r="F16" s="105"/>
      <c r="G16" s="104"/>
      <c r="H16" s="103"/>
      <c r="I16" s="102"/>
      <c r="J16" s="101">
        <f t="shared" si="0"/>
        <v>0</v>
      </c>
      <c r="K16" s="100">
        <f t="shared" si="0"/>
        <v>0</v>
      </c>
      <c r="L16" s="99"/>
    </row>
    <row r="17" spans="2:12" ht="20.25" customHeight="1">
      <c r="B17" s="21">
        <v>8</v>
      </c>
      <c r="C17" s="22" t="s">
        <v>13</v>
      </c>
      <c r="D17" s="120">
        <f>'１１月'!J17</f>
        <v>0</v>
      </c>
      <c r="E17" s="116">
        <f>'１１月'!K17</f>
        <v>0</v>
      </c>
      <c r="F17" s="105"/>
      <c r="G17" s="104"/>
      <c r="H17" s="103"/>
      <c r="I17" s="102"/>
      <c r="J17" s="101">
        <f t="shared" si="0"/>
        <v>0</v>
      </c>
      <c r="K17" s="100">
        <f t="shared" si="0"/>
        <v>0</v>
      </c>
      <c r="L17" s="99"/>
    </row>
    <row r="18" spans="2:12" ht="20.25" customHeight="1">
      <c r="B18" s="21">
        <v>9</v>
      </c>
      <c r="C18" s="22" t="s">
        <v>14</v>
      </c>
      <c r="D18" s="120">
        <f>'１１月'!J18</f>
        <v>54</v>
      </c>
      <c r="E18" s="116">
        <f>'１１月'!K18</f>
        <v>6125</v>
      </c>
      <c r="F18" s="105"/>
      <c r="G18" s="104"/>
      <c r="H18" s="103"/>
      <c r="I18" s="102"/>
      <c r="J18" s="101">
        <f t="shared" si="0"/>
        <v>54</v>
      </c>
      <c r="K18" s="100">
        <f t="shared" si="0"/>
        <v>6125</v>
      </c>
      <c r="L18" s="99"/>
    </row>
    <row r="19" spans="2:12" ht="20.25" customHeight="1">
      <c r="B19" s="21">
        <v>10</v>
      </c>
      <c r="C19" s="22" t="s">
        <v>15</v>
      </c>
      <c r="D19" s="120">
        <f>'１１月'!J19</f>
        <v>0</v>
      </c>
      <c r="E19" s="116">
        <f>'１１月'!K19</f>
        <v>0</v>
      </c>
      <c r="F19" s="105"/>
      <c r="G19" s="104"/>
      <c r="H19" s="103"/>
      <c r="I19" s="102"/>
      <c r="J19" s="101">
        <f t="shared" si="0"/>
        <v>0</v>
      </c>
      <c r="K19" s="100">
        <f t="shared" si="0"/>
        <v>0</v>
      </c>
      <c r="L19" s="99"/>
    </row>
    <row r="20" spans="2:12" ht="20.25" customHeight="1">
      <c r="B20" s="21">
        <v>11</v>
      </c>
      <c r="C20" s="22" t="s">
        <v>16</v>
      </c>
      <c r="D20" s="120">
        <f>'１１月'!J20</f>
        <v>0</v>
      </c>
      <c r="E20" s="116">
        <f>'１１月'!K20</f>
        <v>0</v>
      </c>
      <c r="F20" s="105"/>
      <c r="G20" s="104"/>
      <c r="H20" s="103"/>
      <c r="I20" s="102"/>
      <c r="J20" s="101">
        <f t="shared" si="0"/>
        <v>0</v>
      </c>
      <c r="K20" s="100">
        <f t="shared" si="0"/>
        <v>0</v>
      </c>
      <c r="L20" s="99"/>
    </row>
    <row r="21" spans="2:12" ht="20.25" customHeight="1">
      <c r="B21" s="21">
        <v>12</v>
      </c>
      <c r="C21" s="22" t="s">
        <v>17</v>
      </c>
      <c r="D21" s="120">
        <f>'１１月'!J21</f>
        <v>0</v>
      </c>
      <c r="E21" s="116">
        <f>'１１月'!K21</f>
        <v>0</v>
      </c>
      <c r="F21" s="105"/>
      <c r="G21" s="104"/>
      <c r="H21" s="103"/>
      <c r="I21" s="102"/>
      <c r="J21" s="101">
        <f t="shared" si="0"/>
        <v>0</v>
      </c>
      <c r="K21" s="100">
        <f t="shared" si="0"/>
        <v>0</v>
      </c>
      <c r="L21" s="99"/>
    </row>
    <row r="22" spans="2:12" ht="20.25" customHeight="1">
      <c r="B22" s="21">
        <v>13</v>
      </c>
      <c r="C22" s="22" t="s">
        <v>18</v>
      </c>
      <c r="D22" s="120">
        <f>'１１月'!J22</f>
        <v>6324</v>
      </c>
      <c r="E22" s="116">
        <f>'１１月'!K22</f>
        <v>866680</v>
      </c>
      <c r="F22" s="105"/>
      <c r="G22" s="104"/>
      <c r="H22" s="103"/>
      <c r="I22" s="102"/>
      <c r="J22" s="101">
        <f t="shared" si="0"/>
        <v>6324</v>
      </c>
      <c r="K22" s="100">
        <f t="shared" si="0"/>
        <v>866680</v>
      </c>
      <c r="L22" s="99"/>
    </row>
    <row r="23" spans="2:12" s="60" customFormat="1" ht="20.25" customHeight="1">
      <c r="B23" s="61">
        <v>14</v>
      </c>
      <c r="C23" s="62" t="s">
        <v>19</v>
      </c>
      <c r="D23" s="120">
        <f>'１１月'!J23</f>
        <v>2714</v>
      </c>
      <c r="E23" s="116">
        <f>'１１月'!K23</f>
        <v>1891746</v>
      </c>
      <c r="F23" s="112"/>
      <c r="G23" s="111"/>
      <c r="H23" s="110"/>
      <c r="I23" s="109"/>
      <c r="J23" s="108">
        <f t="shared" si="0"/>
        <v>2714</v>
      </c>
      <c r="K23" s="107">
        <f t="shared" si="0"/>
        <v>1891746</v>
      </c>
      <c r="L23" s="106"/>
    </row>
    <row r="24" spans="2:12" ht="20.25" customHeight="1">
      <c r="B24" s="21">
        <v>15</v>
      </c>
      <c r="C24" s="22" t="s">
        <v>20</v>
      </c>
      <c r="D24" s="120">
        <f>'１１月'!J24</f>
        <v>25611</v>
      </c>
      <c r="E24" s="116">
        <f>'１１月'!K24</f>
        <v>3112446</v>
      </c>
      <c r="F24" s="105"/>
      <c r="G24" s="104"/>
      <c r="H24" s="103"/>
      <c r="I24" s="102"/>
      <c r="J24" s="101">
        <f t="shared" si="0"/>
        <v>25611</v>
      </c>
      <c r="K24" s="100">
        <f t="shared" si="0"/>
        <v>3112446</v>
      </c>
      <c r="L24" s="99"/>
    </row>
    <row r="25" spans="2:12" ht="20.25" customHeight="1">
      <c r="B25" s="21">
        <v>16</v>
      </c>
      <c r="C25" s="22" t="s">
        <v>21</v>
      </c>
      <c r="D25" s="120">
        <f>'１１月'!J25</f>
        <v>6954</v>
      </c>
      <c r="E25" s="116">
        <f>'１１月'!K25</f>
        <v>3824892</v>
      </c>
      <c r="F25" s="105"/>
      <c r="G25" s="104"/>
      <c r="H25" s="103"/>
      <c r="I25" s="102"/>
      <c r="J25" s="101">
        <f t="shared" si="0"/>
        <v>6954</v>
      </c>
      <c r="K25" s="100">
        <f t="shared" si="0"/>
        <v>3824892</v>
      </c>
      <c r="L25" s="99"/>
    </row>
    <row r="26" spans="2:12" ht="20.25" customHeight="1">
      <c r="B26" s="21">
        <v>17</v>
      </c>
      <c r="C26" s="22" t="s">
        <v>22</v>
      </c>
      <c r="D26" s="120">
        <f>'１１月'!J26</f>
        <v>18443</v>
      </c>
      <c r="E26" s="116">
        <f>'１１月'!K26</f>
        <v>6633572</v>
      </c>
      <c r="F26" s="105"/>
      <c r="G26" s="104"/>
      <c r="H26" s="103"/>
      <c r="I26" s="102"/>
      <c r="J26" s="101">
        <f t="shared" si="0"/>
        <v>18443</v>
      </c>
      <c r="K26" s="100">
        <f t="shared" si="0"/>
        <v>6633572</v>
      </c>
      <c r="L26" s="99"/>
    </row>
    <row r="27" spans="2:12" ht="20.25" customHeight="1">
      <c r="B27" s="21">
        <v>18</v>
      </c>
      <c r="C27" s="22" t="s">
        <v>51</v>
      </c>
      <c r="D27" s="120">
        <f>'１１月'!J27</f>
        <v>2061</v>
      </c>
      <c r="E27" s="116">
        <f>'１１月'!K27</f>
        <v>322000</v>
      </c>
      <c r="F27" s="105"/>
      <c r="G27" s="104"/>
      <c r="H27" s="103"/>
      <c r="I27" s="102"/>
      <c r="J27" s="101">
        <f t="shared" si="0"/>
        <v>2061</v>
      </c>
      <c r="K27" s="100">
        <f t="shared" si="0"/>
        <v>322000</v>
      </c>
      <c r="L27" s="99"/>
    </row>
    <row r="28" spans="2:12" ht="20.25" customHeight="1">
      <c r="B28" s="21">
        <v>19</v>
      </c>
      <c r="C28" s="22" t="s">
        <v>23</v>
      </c>
      <c r="D28" s="120">
        <f>'１１月'!J28</f>
        <v>750</v>
      </c>
      <c r="E28" s="116">
        <f>'１１月'!K28</f>
        <v>82500</v>
      </c>
      <c r="F28" s="105"/>
      <c r="G28" s="104"/>
      <c r="H28" s="103"/>
      <c r="I28" s="102"/>
      <c r="J28" s="101">
        <f t="shared" si="0"/>
        <v>750</v>
      </c>
      <c r="K28" s="100">
        <f t="shared" si="0"/>
        <v>82500</v>
      </c>
      <c r="L28" s="99"/>
    </row>
    <row r="29" spans="2:12" s="60" customFormat="1" ht="20.25" customHeight="1">
      <c r="B29" s="61">
        <v>20</v>
      </c>
      <c r="C29" s="62" t="s">
        <v>24</v>
      </c>
      <c r="D29" s="120">
        <f>'１１月'!J29</f>
        <v>1043</v>
      </c>
      <c r="E29" s="116">
        <f>'１１月'!K29</f>
        <v>304751</v>
      </c>
      <c r="F29" s="74"/>
      <c r="G29" s="111"/>
      <c r="H29" s="110"/>
      <c r="I29" s="109"/>
      <c r="J29" s="108">
        <f t="shared" si="0"/>
        <v>1043</v>
      </c>
      <c r="K29" s="107">
        <f t="shared" si="0"/>
        <v>304751</v>
      </c>
      <c r="L29" s="106"/>
    </row>
    <row r="30" spans="2:12" s="60" customFormat="1" ht="20.25" customHeight="1">
      <c r="B30" s="61">
        <v>21</v>
      </c>
      <c r="C30" s="62" t="s">
        <v>25</v>
      </c>
      <c r="D30" s="120">
        <f>'１１月'!J30</f>
        <v>1722</v>
      </c>
      <c r="E30" s="116">
        <f>'１１月'!K30</f>
        <v>825516</v>
      </c>
      <c r="F30" s="112"/>
      <c r="G30" s="111"/>
      <c r="H30" s="110"/>
      <c r="I30" s="109"/>
      <c r="J30" s="108">
        <f t="shared" si="0"/>
        <v>1722</v>
      </c>
      <c r="K30" s="107">
        <f t="shared" si="0"/>
        <v>825516</v>
      </c>
      <c r="L30" s="106"/>
    </row>
    <row r="31" spans="2:12" s="60" customFormat="1" ht="20.25" customHeight="1">
      <c r="B31" s="61">
        <v>22</v>
      </c>
      <c r="C31" s="62" t="s">
        <v>26</v>
      </c>
      <c r="D31" s="120">
        <f>'１１月'!J31</f>
        <v>0</v>
      </c>
      <c r="E31" s="116">
        <f>'１１月'!K31</f>
        <v>0</v>
      </c>
      <c r="F31" s="112"/>
      <c r="G31" s="111"/>
      <c r="H31" s="110"/>
      <c r="I31" s="109"/>
      <c r="J31" s="108">
        <f t="shared" si="0"/>
        <v>0</v>
      </c>
      <c r="K31" s="107">
        <f t="shared" si="0"/>
        <v>0</v>
      </c>
      <c r="L31" s="106"/>
    </row>
    <row r="32" spans="2:12" s="60" customFormat="1" ht="20.25" customHeight="1">
      <c r="B32" s="61">
        <v>23</v>
      </c>
      <c r="C32" s="62" t="s">
        <v>27</v>
      </c>
      <c r="D32" s="120">
        <f>'１１月'!J32</f>
        <v>20</v>
      </c>
      <c r="E32" s="116">
        <f>'１１月'!K32</f>
        <v>15200</v>
      </c>
      <c r="F32" s="112"/>
      <c r="G32" s="111"/>
      <c r="H32" s="110"/>
      <c r="I32" s="109"/>
      <c r="J32" s="108">
        <f t="shared" si="0"/>
        <v>20</v>
      </c>
      <c r="K32" s="107">
        <f t="shared" si="0"/>
        <v>15200</v>
      </c>
      <c r="L32" s="106"/>
    </row>
    <row r="33" spans="2:12" s="60" customFormat="1" ht="20.25" customHeight="1">
      <c r="B33" s="61">
        <v>24</v>
      </c>
      <c r="C33" s="62" t="s">
        <v>28</v>
      </c>
      <c r="D33" s="120">
        <f>'１１月'!J33</f>
        <v>22440</v>
      </c>
      <c r="E33" s="116">
        <f>'１１月'!K33</f>
        <v>6911889</v>
      </c>
      <c r="F33" s="112"/>
      <c r="G33" s="111"/>
      <c r="H33" s="72"/>
      <c r="I33" s="109"/>
      <c r="J33" s="108">
        <f t="shared" si="0"/>
        <v>22440</v>
      </c>
      <c r="K33" s="107">
        <f t="shared" si="0"/>
        <v>6911889</v>
      </c>
      <c r="L33" s="106"/>
    </row>
    <row r="34" spans="2:12" s="60" customFormat="1" ht="32.25" customHeight="1">
      <c r="B34" s="61">
        <v>25</v>
      </c>
      <c r="C34" s="62" t="s">
        <v>29</v>
      </c>
      <c r="D34" s="120">
        <f>'１１月'!J34</f>
        <v>111251</v>
      </c>
      <c r="E34" s="116">
        <f>'１１月'!K34</f>
        <v>8357432</v>
      </c>
      <c r="F34" s="112"/>
      <c r="G34" s="111"/>
      <c r="H34" s="110"/>
      <c r="I34" s="109"/>
      <c r="J34" s="108">
        <f t="shared" si="0"/>
        <v>111251</v>
      </c>
      <c r="K34" s="107">
        <f t="shared" si="0"/>
        <v>8357432</v>
      </c>
      <c r="L34" s="106"/>
    </row>
    <row r="35" spans="2:12" s="60" customFormat="1" ht="20.25" customHeight="1">
      <c r="B35" s="61">
        <v>26</v>
      </c>
      <c r="C35" s="62" t="s">
        <v>30</v>
      </c>
      <c r="D35" s="120">
        <f>'１１月'!J35</f>
        <v>4578</v>
      </c>
      <c r="E35" s="116">
        <f>'１１月'!K35</f>
        <v>3377522</v>
      </c>
      <c r="F35" s="112"/>
      <c r="G35" s="111"/>
      <c r="H35" s="110"/>
      <c r="I35" s="109"/>
      <c r="J35" s="108">
        <f t="shared" si="0"/>
        <v>4578</v>
      </c>
      <c r="K35" s="107">
        <f t="shared" si="0"/>
        <v>3377522</v>
      </c>
      <c r="L35" s="106"/>
    </row>
    <row r="36" spans="2:12" s="60" customFormat="1" ht="20.25" customHeight="1">
      <c r="B36" s="61">
        <v>27</v>
      </c>
      <c r="C36" s="62" t="s">
        <v>31</v>
      </c>
      <c r="D36" s="120">
        <f>'１１月'!J36</f>
        <v>255</v>
      </c>
      <c r="E36" s="116">
        <f>'１１月'!K36</f>
        <v>50960</v>
      </c>
      <c r="F36" s="112"/>
      <c r="G36" s="111"/>
      <c r="H36" s="110"/>
      <c r="I36" s="109"/>
      <c r="J36" s="108">
        <f t="shared" si="0"/>
        <v>255</v>
      </c>
      <c r="K36" s="107">
        <f t="shared" si="0"/>
        <v>50960</v>
      </c>
      <c r="L36" s="106"/>
    </row>
    <row r="37" spans="2:12" s="60" customFormat="1" ht="20.25" customHeight="1">
      <c r="B37" s="61">
        <v>28</v>
      </c>
      <c r="C37" s="62" t="s">
        <v>33</v>
      </c>
      <c r="D37" s="120">
        <f>'１１月'!J37</f>
        <v>0</v>
      </c>
      <c r="E37" s="116">
        <f>'１１月'!K37</f>
        <v>0</v>
      </c>
      <c r="F37" s="112"/>
      <c r="G37" s="111"/>
      <c r="H37" s="110"/>
      <c r="I37" s="109"/>
      <c r="J37" s="108">
        <f t="shared" si="0"/>
        <v>0</v>
      </c>
      <c r="K37" s="107">
        <f t="shared" si="0"/>
        <v>0</v>
      </c>
      <c r="L37" s="106"/>
    </row>
    <row r="38" spans="2:12" s="60" customFormat="1" ht="20.25" customHeight="1">
      <c r="B38" s="61">
        <v>29</v>
      </c>
      <c r="C38" s="62" t="s">
        <v>32</v>
      </c>
      <c r="D38" s="120">
        <f>'１１月'!J38</f>
        <v>756</v>
      </c>
      <c r="E38" s="116">
        <f>'１１月'!K38</f>
        <v>155560</v>
      </c>
      <c r="F38" s="112"/>
      <c r="G38" s="111"/>
      <c r="H38" s="110"/>
      <c r="I38" s="109"/>
      <c r="J38" s="108">
        <f t="shared" si="0"/>
        <v>756</v>
      </c>
      <c r="K38" s="107">
        <f t="shared" si="0"/>
        <v>155560</v>
      </c>
      <c r="L38" s="106"/>
    </row>
    <row r="39" spans="2:12" s="60" customFormat="1" ht="20.25" customHeight="1">
      <c r="B39" s="61">
        <v>30</v>
      </c>
      <c r="C39" s="62" t="s">
        <v>34</v>
      </c>
      <c r="D39" s="120">
        <f>'１１月'!J39</f>
        <v>1124</v>
      </c>
      <c r="E39" s="116">
        <f>'１１月'!K39</f>
        <v>1236400</v>
      </c>
      <c r="F39" s="112"/>
      <c r="G39" s="111"/>
      <c r="H39" s="110"/>
      <c r="I39" s="109"/>
      <c r="J39" s="108">
        <f t="shared" si="0"/>
        <v>1124</v>
      </c>
      <c r="K39" s="107">
        <f t="shared" si="0"/>
        <v>1236400</v>
      </c>
      <c r="L39" s="106"/>
    </row>
    <row r="40" spans="2:12" s="60" customFormat="1" ht="20.25" customHeight="1">
      <c r="B40" s="61">
        <v>31</v>
      </c>
      <c r="C40" s="62" t="s">
        <v>35</v>
      </c>
      <c r="D40" s="120">
        <f>'１１月'!J40</f>
        <v>0</v>
      </c>
      <c r="E40" s="116">
        <f>'１１月'!K40</f>
        <v>0</v>
      </c>
      <c r="F40" s="112"/>
      <c r="G40" s="111"/>
      <c r="H40" s="110"/>
      <c r="I40" s="109"/>
      <c r="J40" s="108">
        <f t="shared" si="0"/>
        <v>0</v>
      </c>
      <c r="K40" s="107">
        <f t="shared" si="0"/>
        <v>0</v>
      </c>
      <c r="L40" s="106"/>
    </row>
    <row r="41" spans="2:12" s="60" customFormat="1" ht="20.25" customHeight="1">
      <c r="B41" s="61">
        <v>32</v>
      </c>
      <c r="C41" s="62" t="s">
        <v>36</v>
      </c>
      <c r="D41" s="120">
        <f>'１１月'!J41</f>
        <v>0</v>
      </c>
      <c r="E41" s="116">
        <f>'１１月'!K41</f>
        <v>0</v>
      </c>
      <c r="F41" s="112"/>
      <c r="G41" s="111"/>
      <c r="H41" s="110"/>
      <c r="I41" s="109"/>
      <c r="J41" s="108">
        <f t="shared" si="0"/>
        <v>0</v>
      </c>
      <c r="K41" s="107">
        <f t="shared" si="0"/>
        <v>0</v>
      </c>
      <c r="L41" s="106"/>
    </row>
    <row r="42" spans="2:12" s="60" customFormat="1" ht="20.25" customHeight="1">
      <c r="B42" s="61">
        <v>33</v>
      </c>
      <c r="C42" s="62" t="s">
        <v>37</v>
      </c>
      <c r="D42" s="120">
        <f>'１１月'!J42</f>
        <v>46487</v>
      </c>
      <c r="E42" s="116">
        <f>'１１月'!K42</f>
        <v>7954790</v>
      </c>
      <c r="F42" s="112"/>
      <c r="G42" s="111"/>
      <c r="H42" s="110"/>
      <c r="I42" s="109"/>
      <c r="J42" s="108">
        <f t="shared" si="0"/>
        <v>46487</v>
      </c>
      <c r="K42" s="107">
        <f t="shared" si="0"/>
        <v>7954790</v>
      </c>
      <c r="L42" s="106"/>
    </row>
    <row r="43" spans="2:12" s="60" customFormat="1" ht="33" customHeight="1">
      <c r="B43" s="61">
        <v>34</v>
      </c>
      <c r="C43" s="62" t="s">
        <v>38</v>
      </c>
      <c r="D43" s="120">
        <f>'１１月'!J43</f>
        <v>7947</v>
      </c>
      <c r="E43" s="116">
        <f>'１１月'!K43</f>
        <v>2699763</v>
      </c>
      <c r="F43" s="112"/>
      <c r="G43" s="111"/>
      <c r="H43" s="110"/>
      <c r="I43" s="109"/>
      <c r="J43" s="108">
        <f t="shared" si="0"/>
        <v>7947</v>
      </c>
      <c r="K43" s="107">
        <f t="shared" si="0"/>
        <v>2699763</v>
      </c>
      <c r="L43" s="106"/>
    </row>
    <row r="44" spans="2:12" s="60" customFormat="1" ht="20.25" customHeight="1">
      <c r="B44" s="61">
        <v>35</v>
      </c>
      <c r="C44" s="62" t="s">
        <v>39</v>
      </c>
      <c r="D44" s="120">
        <f>'１１月'!J44</f>
        <v>20</v>
      </c>
      <c r="E44" s="116">
        <f>'１１月'!K44</f>
        <v>114810</v>
      </c>
      <c r="F44" s="112"/>
      <c r="G44" s="111"/>
      <c r="H44" s="110"/>
      <c r="I44" s="109"/>
      <c r="J44" s="108">
        <f t="shared" si="0"/>
        <v>20</v>
      </c>
      <c r="K44" s="107">
        <f t="shared" si="0"/>
        <v>114810</v>
      </c>
      <c r="L44" s="106"/>
    </row>
    <row r="45" spans="2:12" s="60" customFormat="1" ht="20.25" customHeight="1">
      <c r="B45" s="61">
        <v>36</v>
      </c>
      <c r="C45" s="62" t="s">
        <v>40</v>
      </c>
      <c r="D45" s="120">
        <f>'１１月'!J45</f>
        <v>3571</v>
      </c>
      <c r="E45" s="116">
        <f>'１１月'!K45</f>
        <v>2125617</v>
      </c>
      <c r="F45" s="112"/>
      <c r="G45" s="111"/>
      <c r="H45" s="110"/>
      <c r="I45" s="109"/>
      <c r="J45" s="108">
        <f t="shared" si="0"/>
        <v>3571</v>
      </c>
      <c r="K45" s="107">
        <f t="shared" si="0"/>
        <v>2125617</v>
      </c>
      <c r="L45" s="106"/>
    </row>
    <row r="46" spans="2:12" ht="20.25" customHeight="1">
      <c r="B46" s="21">
        <v>37</v>
      </c>
      <c r="C46" s="22" t="s">
        <v>41</v>
      </c>
      <c r="D46" s="120">
        <f>'１１月'!J46</f>
        <v>7770</v>
      </c>
      <c r="E46" s="116">
        <f>'１１月'!K46</f>
        <v>1248143</v>
      </c>
      <c r="F46" s="105"/>
      <c r="G46" s="104"/>
      <c r="H46" s="103"/>
      <c r="I46" s="102"/>
      <c r="J46" s="101">
        <f t="shared" si="0"/>
        <v>7770</v>
      </c>
      <c r="K46" s="100">
        <f t="shared" si="0"/>
        <v>1248143</v>
      </c>
      <c r="L46" s="99"/>
    </row>
    <row r="47" spans="2:12" ht="32.25" customHeight="1">
      <c r="B47" s="21">
        <v>38</v>
      </c>
      <c r="C47" s="22" t="s">
        <v>42</v>
      </c>
      <c r="D47" s="120">
        <f>'１１月'!J47</f>
        <v>2531</v>
      </c>
      <c r="E47" s="116">
        <f>'１１月'!K47</f>
        <v>1661397</v>
      </c>
      <c r="F47" s="105"/>
      <c r="G47" s="104"/>
      <c r="H47" s="103"/>
      <c r="I47" s="102"/>
      <c r="J47" s="101">
        <f t="shared" si="0"/>
        <v>2531</v>
      </c>
      <c r="K47" s="100">
        <f t="shared" si="0"/>
        <v>1661397</v>
      </c>
      <c r="L47" s="99"/>
    </row>
    <row r="48" spans="2:12" ht="20.25" customHeight="1">
      <c r="B48" s="21">
        <v>39</v>
      </c>
      <c r="C48" s="22" t="s">
        <v>43</v>
      </c>
      <c r="D48" s="120">
        <f>'１１月'!J48</f>
        <v>0</v>
      </c>
      <c r="E48" s="116">
        <f>'１１月'!K48</f>
        <v>0</v>
      </c>
      <c r="F48" s="105"/>
      <c r="G48" s="104"/>
      <c r="H48" s="103"/>
      <c r="I48" s="102"/>
      <c r="J48" s="101">
        <f t="shared" si="0"/>
        <v>0</v>
      </c>
      <c r="K48" s="100">
        <f t="shared" si="0"/>
        <v>0</v>
      </c>
      <c r="L48" s="99"/>
    </row>
    <row r="49" spans="2:12" ht="20.25" customHeight="1" thickBot="1">
      <c r="B49" s="23">
        <v>40</v>
      </c>
      <c r="C49" s="24" t="s">
        <v>50</v>
      </c>
      <c r="D49" s="120">
        <f>'１１月'!J49</f>
        <v>7756</v>
      </c>
      <c r="E49" s="97">
        <f>'１１月'!K49</f>
        <v>2630311</v>
      </c>
      <c r="F49" s="98"/>
      <c r="G49" s="97"/>
      <c r="H49" s="96"/>
      <c r="I49" s="95"/>
      <c r="J49" s="94">
        <f t="shared" si="0"/>
        <v>7756</v>
      </c>
      <c r="K49" s="93">
        <f t="shared" si="0"/>
        <v>2630311</v>
      </c>
      <c r="L49" s="92"/>
    </row>
    <row r="50" spans="2:12" ht="21" customHeight="1" thickBot="1" thickTop="1">
      <c r="B50" s="140" t="s">
        <v>46</v>
      </c>
      <c r="C50" s="141"/>
      <c r="D50" s="91">
        <f aca="true" t="shared" si="1" ref="D50:I50">SUM(D10:D49)</f>
        <v>319732</v>
      </c>
      <c r="E50" s="90">
        <f t="shared" si="1"/>
        <v>65925944</v>
      </c>
      <c r="F50" s="89">
        <f t="shared" si="1"/>
        <v>0</v>
      </c>
      <c r="G50" s="87">
        <f t="shared" si="1"/>
        <v>0</v>
      </c>
      <c r="H50" s="89">
        <f t="shared" si="1"/>
        <v>0</v>
      </c>
      <c r="I50" s="87">
        <f t="shared" si="1"/>
        <v>0</v>
      </c>
      <c r="J50" s="88">
        <f t="shared" si="0"/>
        <v>319732</v>
      </c>
      <c r="K50" s="87">
        <f t="shared" si="0"/>
        <v>65925944</v>
      </c>
      <c r="L50" s="86"/>
    </row>
    <row r="51" spans="10:11" ht="13.5">
      <c r="J51" s="85"/>
      <c r="K51" s="85"/>
    </row>
    <row r="52" spans="10:11" ht="13.5">
      <c r="J52" s="84"/>
      <c r="K52" s="84"/>
    </row>
    <row r="53" spans="10:11" ht="13.5">
      <c r="J53" s="77"/>
      <c r="K53" s="77"/>
    </row>
    <row r="55" spans="4:11" ht="13.5">
      <c r="D55" s="75"/>
      <c r="E55" s="75"/>
      <c r="F55" s="75"/>
      <c r="G55" s="75"/>
      <c r="H55" s="75"/>
      <c r="I55" s="75"/>
      <c r="J55" s="82"/>
      <c r="K55" s="82"/>
    </row>
    <row r="56" spans="4:11" ht="13.5">
      <c r="D56" s="75"/>
      <c r="E56" s="75"/>
      <c r="F56" s="75"/>
      <c r="G56" s="75"/>
      <c r="H56" s="75"/>
      <c r="I56" s="75"/>
      <c r="J56" s="82"/>
      <c r="K56" s="82"/>
    </row>
    <row r="57" spans="4:11" ht="13.5">
      <c r="D57" s="80"/>
      <c r="E57" s="80"/>
      <c r="F57" s="80"/>
      <c r="G57" s="80"/>
      <c r="H57" s="80"/>
      <c r="I57" s="80"/>
      <c r="J57" s="80"/>
      <c r="K57" s="80"/>
    </row>
    <row r="58" spans="4:11" ht="13.5">
      <c r="D58" s="80"/>
      <c r="E58" s="80"/>
      <c r="F58" s="80"/>
      <c r="G58" s="80"/>
      <c r="H58" s="80"/>
      <c r="I58" s="80"/>
      <c r="J58" s="80"/>
      <c r="K58" s="80"/>
    </row>
    <row r="59" spans="4:11" ht="13.5">
      <c r="D59" s="80"/>
      <c r="E59" s="80"/>
      <c r="F59" s="80"/>
      <c r="G59" s="80"/>
      <c r="H59" s="80"/>
      <c r="I59" s="80"/>
      <c r="J59" s="83"/>
      <c r="K59" s="83"/>
    </row>
    <row r="60" spans="4:11" ht="13.5">
      <c r="D60" s="80"/>
      <c r="E60" s="80"/>
      <c r="F60" s="80"/>
      <c r="G60" s="80"/>
      <c r="H60" s="80"/>
      <c r="I60" s="80"/>
      <c r="J60" s="83"/>
      <c r="K60" s="83"/>
    </row>
    <row r="61" spans="4:11" ht="13.5">
      <c r="D61" s="80"/>
      <c r="E61" s="80"/>
      <c r="F61" s="80"/>
      <c r="G61" s="80"/>
      <c r="H61" s="80"/>
      <c r="I61" s="80"/>
      <c r="J61" s="80"/>
      <c r="K61" s="80"/>
    </row>
    <row r="62" spans="4:11" ht="13.5">
      <c r="D62" s="75"/>
      <c r="E62" s="75"/>
      <c r="F62" s="75"/>
      <c r="G62" s="75"/>
      <c r="H62" s="75"/>
      <c r="I62" s="75"/>
      <c r="J62" s="75"/>
      <c r="K62" s="75"/>
    </row>
    <row r="63" spans="4:11" ht="13.5">
      <c r="D63" s="75"/>
      <c r="E63" s="75"/>
      <c r="F63" s="75"/>
      <c r="G63" s="75"/>
      <c r="H63" s="75"/>
      <c r="I63" s="75"/>
      <c r="J63" s="82"/>
      <c r="K63" s="82"/>
    </row>
    <row r="64" spans="4:11" ht="13.5">
      <c r="D64" s="75"/>
      <c r="E64" s="75"/>
      <c r="F64" s="75"/>
      <c r="G64" s="75"/>
      <c r="H64" s="75"/>
      <c r="I64" s="75"/>
      <c r="J64" s="82"/>
      <c r="K64" s="82"/>
    </row>
    <row r="65" spans="4:11" ht="13.5">
      <c r="D65" s="75"/>
      <c r="E65" s="75"/>
      <c r="F65" s="75"/>
      <c r="G65" s="75"/>
      <c r="H65" s="75"/>
      <c r="I65" s="75"/>
      <c r="J65" s="75"/>
      <c r="K65" s="75"/>
    </row>
  </sheetData>
  <sheetProtection/>
  <mergeCells count="9">
    <mergeCell ref="B50:C50"/>
    <mergeCell ref="B2:L2"/>
    <mergeCell ref="J4:L4"/>
    <mergeCell ref="J5:L5"/>
    <mergeCell ref="D7:E7"/>
    <mergeCell ref="F7:G7"/>
    <mergeCell ref="H7:I7"/>
    <mergeCell ref="J7:K7"/>
    <mergeCell ref="L7:L9"/>
  </mergeCells>
  <printOptions horizontalCentered="1"/>
  <pageMargins left="0.3937007874015748" right="0.3937007874015748" top="0.5905511811023623" bottom="0.3937007874015748" header="0" footer="0"/>
  <pageSetup fitToHeight="1" fitToWidth="1" horizontalDpi="300" verticalDpi="300" orientation="portrait" paperSize="9" scale="8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65"/>
  <sheetViews>
    <sheetView zoomScalePageLayoutView="0" workbookViewId="0" topLeftCell="A1">
      <pane xSplit="5" ySplit="9" topLeftCell="F48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F30" sqref="F30"/>
    </sheetView>
  </sheetViews>
  <sheetFormatPr defaultColWidth="9.00390625" defaultRowHeight="13.5"/>
  <cols>
    <col min="1" max="1" width="4.375" style="1" customWidth="1"/>
    <col min="2" max="2" width="3.375" style="1" customWidth="1"/>
    <col min="3" max="3" width="15.125" style="1" customWidth="1"/>
    <col min="4" max="4" width="10.00390625" style="1" customWidth="1"/>
    <col min="5" max="5" width="11.25390625" style="1" customWidth="1"/>
    <col min="6" max="6" width="10.00390625" style="1" customWidth="1"/>
    <col min="7" max="7" width="11.25390625" style="1" customWidth="1"/>
    <col min="8" max="8" width="10.00390625" style="1" customWidth="1"/>
    <col min="9" max="9" width="11.25390625" style="1" customWidth="1"/>
    <col min="10" max="10" width="10.00390625" style="1" customWidth="1"/>
    <col min="11" max="11" width="11.25390625" style="1" customWidth="1"/>
    <col min="12" max="12" width="9.375" style="1" customWidth="1"/>
    <col min="13" max="13" width="4.00390625" style="1" customWidth="1"/>
    <col min="14" max="16384" width="9.00390625" style="1" customWidth="1"/>
  </cols>
  <sheetData>
    <row r="2" spans="2:12" ht="18.75" customHeight="1">
      <c r="B2" s="142" t="s">
        <v>47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2:12" ht="15" customHeight="1">
      <c r="B3" s="28" t="str">
        <f>'１月'!$B$3</f>
        <v>平成２８年</v>
      </c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2:12" ht="18" customHeight="1">
      <c r="B4" s="27"/>
      <c r="C4" s="54" t="s">
        <v>63</v>
      </c>
      <c r="E4" s="28" t="s">
        <v>54</v>
      </c>
      <c r="I4" s="121" t="s">
        <v>52</v>
      </c>
      <c r="J4" s="152" t="s">
        <v>57</v>
      </c>
      <c r="K4" s="152"/>
      <c r="L4" s="152"/>
    </row>
    <row r="5" spans="3:12" ht="18" customHeight="1">
      <c r="C5" s="1" t="s">
        <v>59</v>
      </c>
      <c r="I5" s="2" t="s">
        <v>53</v>
      </c>
      <c r="J5" s="148"/>
      <c r="K5" s="148"/>
      <c r="L5" s="148"/>
    </row>
    <row r="6" spans="5:12" ht="18" customHeight="1" thickBot="1">
      <c r="E6" s="1" t="s">
        <v>58</v>
      </c>
      <c r="I6" s="2"/>
      <c r="J6" s="55"/>
      <c r="K6" s="55"/>
      <c r="L6" s="55"/>
    </row>
    <row r="7" spans="2:12" ht="18.75" customHeight="1">
      <c r="B7" s="3"/>
      <c r="C7" s="4" t="s">
        <v>48</v>
      </c>
      <c r="D7" s="143" t="s">
        <v>0</v>
      </c>
      <c r="E7" s="144"/>
      <c r="F7" s="145" t="s">
        <v>1</v>
      </c>
      <c r="G7" s="146"/>
      <c r="H7" s="144" t="s">
        <v>2</v>
      </c>
      <c r="I7" s="144"/>
      <c r="J7" s="145" t="s">
        <v>3</v>
      </c>
      <c r="K7" s="146"/>
      <c r="L7" s="149" t="s">
        <v>4</v>
      </c>
    </row>
    <row r="8" spans="2:12" ht="18.75" customHeight="1">
      <c r="B8" s="5"/>
      <c r="C8" s="6"/>
      <c r="D8" s="7" t="s">
        <v>44</v>
      </c>
      <c r="E8" s="8" t="s">
        <v>45</v>
      </c>
      <c r="F8" s="9" t="s">
        <v>44</v>
      </c>
      <c r="G8" s="10" t="s">
        <v>45</v>
      </c>
      <c r="H8" s="11" t="s">
        <v>44</v>
      </c>
      <c r="I8" s="8" t="s">
        <v>45</v>
      </c>
      <c r="J8" s="9" t="s">
        <v>44</v>
      </c>
      <c r="K8" s="10" t="s">
        <v>45</v>
      </c>
      <c r="L8" s="150"/>
    </row>
    <row r="9" spans="2:12" ht="18.75" customHeight="1" thickBot="1">
      <c r="B9" s="12" t="s">
        <v>49</v>
      </c>
      <c r="C9" s="13"/>
      <c r="D9" s="14" t="s">
        <v>60</v>
      </c>
      <c r="E9" s="15" t="s">
        <v>5</v>
      </c>
      <c r="F9" s="16" t="s">
        <v>60</v>
      </c>
      <c r="G9" s="17" t="s">
        <v>5</v>
      </c>
      <c r="H9" s="18" t="s">
        <v>60</v>
      </c>
      <c r="I9" s="15" t="s">
        <v>5</v>
      </c>
      <c r="J9" s="16" t="s">
        <v>60</v>
      </c>
      <c r="K9" s="17" t="s">
        <v>5</v>
      </c>
      <c r="L9" s="151"/>
    </row>
    <row r="10" spans="2:14" ht="20.25" customHeight="1" thickTop="1">
      <c r="B10" s="19">
        <v>1</v>
      </c>
      <c r="C10" s="20" t="s">
        <v>6</v>
      </c>
      <c r="D10" s="120">
        <f>'１月'!J10</f>
        <v>30377</v>
      </c>
      <c r="E10" s="116">
        <f>'１月'!K10</f>
        <v>7816460</v>
      </c>
      <c r="F10" s="119">
        <v>3638</v>
      </c>
      <c r="G10" s="118">
        <v>692394</v>
      </c>
      <c r="H10" s="117">
        <v>1773</v>
      </c>
      <c r="I10" s="116">
        <v>334571</v>
      </c>
      <c r="J10" s="115">
        <f aca="true" t="shared" si="0" ref="J10:J50">D10+F10-H10</f>
        <v>32242</v>
      </c>
      <c r="K10" s="114">
        <f aca="true" t="shared" si="1" ref="K10:K50">E10+G10-I10</f>
        <v>8174283</v>
      </c>
      <c r="L10" s="113"/>
      <c r="N10" s="60"/>
    </row>
    <row r="11" spans="2:12" ht="20.25" customHeight="1">
      <c r="B11" s="21">
        <v>2</v>
      </c>
      <c r="C11" s="22" t="s">
        <v>7</v>
      </c>
      <c r="D11" s="120">
        <f>'１月'!J11</f>
        <v>0</v>
      </c>
      <c r="E11" s="116">
        <f>'１月'!K11</f>
        <v>216</v>
      </c>
      <c r="F11" s="105">
        <v>0</v>
      </c>
      <c r="G11" s="104">
        <v>0</v>
      </c>
      <c r="H11" s="103">
        <v>0</v>
      </c>
      <c r="I11" s="102">
        <v>0</v>
      </c>
      <c r="J11" s="101">
        <f t="shared" si="0"/>
        <v>0</v>
      </c>
      <c r="K11" s="100">
        <f t="shared" si="1"/>
        <v>216</v>
      </c>
      <c r="L11" s="99"/>
    </row>
    <row r="12" spans="2:12" ht="20.25" customHeight="1">
      <c r="B12" s="21">
        <v>3</v>
      </c>
      <c r="C12" s="22" t="s">
        <v>8</v>
      </c>
      <c r="D12" s="120">
        <f>'１月'!J12</f>
        <v>0</v>
      </c>
      <c r="E12" s="116">
        <f>'１月'!K12</f>
        <v>0</v>
      </c>
      <c r="F12" s="105">
        <v>0</v>
      </c>
      <c r="G12" s="104">
        <v>0</v>
      </c>
      <c r="H12" s="103">
        <v>0</v>
      </c>
      <c r="I12" s="102">
        <v>0</v>
      </c>
      <c r="J12" s="101">
        <f t="shared" si="0"/>
        <v>0</v>
      </c>
      <c r="K12" s="100">
        <f t="shared" si="1"/>
        <v>0</v>
      </c>
      <c r="L12" s="99"/>
    </row>
    <row r="13" spans="2:12" ht="20.25" customHeight="1">
      <c r="B13" s="21">
        <v>4</v>
      </c>
      <c r="C13" s="22" t="s">
        <v>9</v>
      </c>
      <c r="D13" s="120">
        <f>'１月'!J13</f>
        <v>711</v>
      </c>
      <c r="E13" s="116">
        <f>'１月'!K13</f>
        <v>144628</v>
      </c>
      <c r="F13" s="105">
        <v>660</v>
      </c>
      <c r="G13" s="104">
        <v>95475</v>
      </c>
      <c r="H13" s="103">
        <v>178</v>
      </c>
      <c r="I13" s="102">
        <v>64489</v>
      </c>
      <c r="J13" s="101">
        <f t="shared" si="0"/>
        <v>1193</v>
      </c>
      <c r="K13" s="100">
        <f t="shared" si="1"/>
        <v>175614</v>
      </c>
      <c r="L13" s="99"/>
    </row>
    <row r="14" spans="2:12" ht="20.25" customHeight="1">
      <c r="B14" s="21">
        <v>5</v>
      </c>
      <c r="C14" s="22" t="s">
        <v>10</v>
      </c>
      <c r="D14" s="120">
        <f>'１月'!J14</f>
        <v>0</v>
      </c>
      <c r="E14" s="116">
        <f>'１月'!K14</f>
        <v>0</v>
      </c>
      <c r="F14" s="105">
        <v>0</v>
      </c>
      <c r="G14" s="104">
        <v>0</v>
      </c>
      <c r="H14" s="103">
        <v>0</v>
      </c>
      <c r="I14" s="102">
        <v>0</v>
      </c>
      <c r="J14" s="101">
        <f t="shared" si="0"/>
        <v>0</v>
      </c>
      <c r="K14" s="100">
        <f t="shared" si="1"/>
        <v>0</v>
      </c>
      <c r="L14" s="99"/>
    </row>
    <row r="15" spans="2:12" ht="20.25" customHeight="1">
      <c r="B15" s="21">
        <v>6</v>
      </c>
      <c r="C15" s="22" t="s">
        <v>11</v>
      </c>
      <c r="D15" s="120">
        <f>'１月'!J15</f>
        <v>0</v>
      </c>
      <c r="E15" s="116">
        <f>'１月'!K15</f>
        <v>0</v>
      </c>
      <c r="F15" s="105">
        <v>0</v>
      </c>
      <c r="G15" s="104">
        <v>0</v>
      </c>
      <c r="H15" s="103">
        <v>0</v>
      </c>
      <c r="I15" s="102">
        <v>0</v>
      </c>
      <c r="J15" s="101">
        <f t="shared" si="0"/>
        <v>0</v>
      </c>
      <c r="K15" s="100">
        <f t="shared" si="1"/>
        <v>0</v>
      </c>
      <c r="L15" s="99"/>
    </row>
    <row r="16" spans="2:12" ht="20.25" customHeight="1">
      <c r="B16" s="21">
        <v>7</v>
      </c>
      <c r="C16" s="22" t="s">
        <v>12</v>
      </c>
      <c r="D16" s="120">
        <f>'１月'!J16</f>
        <v>0</v>
      </c>
      <c r="E16" s="116">
        <f>'１月'!K16</f>
        <v>0</v>
      </c>
      <c r="F16" s="105">
        <v>0</v>
      </c>
      <c r="G16" s="104">
        <v>0</v>
      </c>
      <c r="H16" s="103">
        <v>0</v>
      </c>
      <c r="I16" s="102">
        <v>0</v>
      </c>
      <c r="J16" s="101">
        <f t="shared" si="0"/>
        <v>0</v>
      </c>
      <c r="K16" s="100">
        <f t="shared" si="1"/>
        <v>0</v>
      </c>
      <c r="L16" s="99"/>
    </row>
    <row r="17" spans="2:12" ht="20.25" customHeight="1">
      <c r="B17" s="21">
        <v>8</v>
      </c>
      <c r="C17" s="22" t="s">
        <v>13</v>
      </c>
      <c r="D17" s="120">
        <f>'１月'!J17</f>
        <v>0</v>
      </c>
      <c r="E17" s="116">
        <f>'１月'!K17</f>
        <v>0</v>
      </c>
      <c r="F17" s="105">
        <v>0</v>
      </c>
      <c r="G17" s="104">
        <v>0</v>
      </c>
      <c r="H17" s="103">
        <v>0</v>
      </c>
      <c r="I17" s="102">
        <v>0</v>
      </c>
      <c r="J17" s="101">
        <f t="shared" si="0"/>
        <v>0</v>
      </c>
      <c r="K17" s="100">
        <f t="shared" si="1"/>
        <v>0</v>
      </c>
      <c r="L17" s="99"/>
    </row>
    <row r="18" spans="2:12" ht="20.25" customHeight="1">
      <c r="B18" s="21">
        <v>9</v>
      </c>
      <c r="C18" s="22" t="s">
        <v>14</v>
      </c>
      <c r="D18" s="120">
        <f>'１月'!J18</f>
        <v>73</v>
      </c>
      <c r="E18" s="116">
        <f>'１月'!K18</f>
        <v>12825</v>
      </c>
      <c r="F18" s="105">
        <v>48</v>
      </c>
      <c r="G18" s="104">
        <v>4560</v>
      </c>
      <c r="H18" s="103">
        <v>62</v>
      </c>
      <c r="I18" s="102">
        <v>6390</v>
      </c>
      <c r="J18" s="101">
        <f t="shared" si="0"/>
        <v>59</v>
      </c>
      <c r="K18" s="100">
        <f t="shared" si="1"/>
        <v>10995</v>
      </c>
      <c r="L18" s="99"/>
    </row>
    <row r="19" spans="2:12" ht="20.25" customHeight="1">
      <c r="B19" s="21">
        <v>10</v>
      </c>
      <c r="C19" s="22" t="s">
        <v>15</v>
      </c>
      <c r="D19" s="120">
        <f>'１月'!J19</f>
        <v>0</v>
      </c>
      <c r="E19" s="116">
        <f>'１月'!K19</f>
        <v>0</v>
      </c>
      <c r="F19" s="105">
        <v>0</v>
      </c>
      <c r="G19" s="104">
        <v>0</v>
      </c>
      <c r="H19" s="103">
        <v>0</v>
      </c>
      <c r="I19" s="102">
        <v>0</v>
      </c>
      <c r="J19" s="101">
        <f t="shared" si="0"/>
        <v>0</v>
      </c>
      <c r="K19" s="100">
        <f t="shared" si="1"/>
        <v>0</v>
      </c>
      <c r="L19" s="99"/>
    </row>
    <row r="20" spans="2:12" ht="20.25" customHeight="1">
      <c r="B20" s="21">
        <v>11</v>
      </c>
      <c r="C20" s="22" t="s">
        <v>16</v>
      </c>
      <c r="D20" s="120">
        <f>'１月'!J20</f>
        <v>26</v>
      </c>
      <c r="E20" s="116">
        <f>'１月'!K20</f>
        <v>1278</v>
      </c>
      <c r="F20" s="105">
        <v>22</v>
      </c>
      <c r="G20" s="104">
        <v>1062</v>
      </c>
      <c r="H20" s="103">
        <v>25</v>
      </c>
      <c r="I20" s="102">
        <v>1212</v>
      </c>
      <c r="J20" s="101">
        <f t="shared" si="0"/>
        <v>23</v>
      </c>
      <c r="K20" s="100">
        <f t="shared" si="1"/>
        <v>1128</v>
      </c>
      <c r="L20" s="99"/>
    </row>
    <row r="21" spans="2:12" ht="20.25" customHeight="1">
      <c r="B21" s="21">
        <v>12</v>
      </c>
      <c r="C21" s="22" t="s">
        <v>17</v>
      </c>
      <c r="D21" s="120">
        <f>'１月'!J21</f>
        <v>0</v>
      </c>
      <c r="E21" s="116">
        <f>'１月'!K21</f>
        <v>0</v>
      </c>
      <c r="F21" s="105">
        <v>0</v>
      </c>
      <c r="G21" s="104">
        <v>0</v>
      </c>
      <c r="H21" s="103">
        <v>0</v>
      </c>
      <c r="I21" s="102">
        <v>0</v>
      </c>
      <c r="J21" s="101">
        <f t="shared" si="0"/>
        <v>0</v>
      </c>
      <c r="K21" s="100">
        <f t="shared" si="1"/>
        <v>0</v>
      </c>
      <c r="L21" s="99"/>
    </row>
    <row r="22" spans="2:12" ht="20.25" customHeight="1">
      <c r="B22" s="21">
        <v>13</v>
      </c>
      <c r="C22" s="22" t="s">
        <v>18</v>
      </c>
      <c r="D22" s="120">
        <f>'１月'!J22</f>
        <v>5882</v>
      </c>
      <c r="E22" s="116">
        <f>'１月'!K22</f>
        <v>884280</v>
      </c>
      <c r="F22" s="105">
        <v>3967</v>
      </c>
      <c r="G22" s="104">
        <v>483520</v>
      </c>
      <c r="H22" s="103">
        <v>1854</v>
      </c>
      <c r="I22" s="102">
        <v>238340</v>
      </c>
      <c r="J22" s="101">
        <f t="shared" si="0"/>
        <v>7995</v>
      </c>
      <c r="K22" s="100">
        <f t="shared" si="1"/>
        <v>1129460</v>
      </c>
      <c r="L22" s="99"/>
    </row>
    <row r="23" spans="2:12" s="60" customFormat="1" ht="20.25" customHeight="1">
      <c r="B23" s="61">
        <v>14</v>
      </c>
      <c r="C23" s="62" t="s">
        <v>19</v>
      </c>
      <c r="D23" s="120">
        <f>'１月'!J23</f>
        <v>2718</v>
      </c>
      <c r="E23" s="116">
        <f>'１月'!K23</f>
        <v>1600759</v>
      </c>
      <c r="F23" s="112">
        <v>1279</v>
      </c>
      <c r="G23" s="111">
        <v>1321400</v>
      </c>
      <c r="H23" s="110">
        <v>1339</v>
      </c>
      <c r="I23" s="109">
        <v>1301854</v>
      </c>
      <c r="J23" s="108">
        <f t="shared" si="0"/>
        <v>2658</v>
      </c>
      <c r="K23" s="107">
        <f t="shared" si="1"/>
        <v>1620305</v>
      </c>
      <c r="L23" s="106"/>
    </row>
    <row r="24" spans="2:12" ht="20.25" customHeight="1">
      <c r="B24" s="21">
        <v>15</v>
      </c>
      <c r="C24" s="22" t="s">
        <v>20</v>
      </c>
      <c r="D24" s="120">
        <f>'１月'!J24</f>
        <v>25842</v>
      </c>
      <c r="E24" s="116">
        <f>'１月'!K24</f>
        <v>3581707</v>
      </c>
      <c r="F24" s="105">
        <v>1094</v>
      </c>
      <c r="G24" s="104">
        <v>3007468</v>
      </c>
      <c r="H24" s="103">
        <v>1118</v>
      </c>
      <c r="I24" s="102">
        <v>3021386</v>
      </c>
      <c r="J24" s="101">
        <f t="shared" si="0"/>
        <v>25818</v>
      </c>
      <c r="K24" s="100">
        <f t="shared" si="1"/>
        <v>3567789</v>
      </c>
      <c r="L24" s="99"/>
    </row>
    <row r="25" spans="2:12" ht="20.25" customHeight="1">
      <c r="B25" s="21">
        <v>16</v>
      </c>
      <c r="C25" s="22" t="s">
        <v>21</v>
      </c>
      <c r="D25" s="120">
        <f>'１月'!J25</f>
        <v>7823</v>
      </c>
      <c r="E25" s="116">
        <f>'１月'!K25</f>
        <v>6135729</v>
      </c>
      <c r="F25" s="105">
        <v>5517</v>
      </c>
      <c r="G25" s="104">
        <v>1409700</v>
      </c>
      <c r="H25" s="103">
        <v>5297</v>
      </c>
      <c r="I25" s="102">
        <v>1468804</v>
      </c>
      <c r="J25" s="101">
        <f t="shared" si="0"/>
        <v>8043</v>
      </c>
      <c r="K25" s="100">
        <f t="shared" si="1"/>
        <v>6076625</v>
      </c>
      <c r="L25" s="99"/>
    </row>
    <row r="26" spans="2:12" ht="20.25" customHeight="1">
      <c r="B26" s="21">
        <v>17</v>
      </c>
      <c r="C26" s="22" t="s">
        <v>22</v>
      </c>
      <c r="D26" s="120">
        <f>'１月'!J26</f>
        <v>18866</v>
      </c>
      <c r="E26" s="116">
        <f>'１月'!K26</f>
        <v>6202613</v>
      </c>
      <c r="F26" s="105">
        <v>8100</v>
      </c>
      <c r="G26" s="104">
        <v>1823891</v>
      </c>
      <c r="H26" s="103">
        <v>7415</v>
      </c>
      <c r="I26" s="102">
        <v>1461472</v>
      </c>
      <c r="J26" s="101">
        <f t="shared" si="0"/>
        <v>19551</v>
      </c>
      <c r="K26" s="100">
        <f t="shared" si="1"/>
        <v>6565032</v>
      </c>
      <c r="L26" s="99"/>
    </row>
    <row r="27" spans="2:12" ht="20.25" customHeight="1">
      <c r="B27" s="21">
        <v>18</v>
      </c>
      <c r="C27" s="22" t="s">
        <v>51</v>
      </c>
      <c r="D27" s="120">
        <f>'１月'!J27</f>
        <v>2086</v>
      </c>
      <c r="E27" s="116">
        <f>'１月'!K27</f>
        <v>334500</v>
      </c>
      <c r="F27" s="105">
        <v>227</v>
      </c>
      <c r="G27" s="104">
        <v>63850</v>
      </c>
      <c r="H27" s="103">
        <v>231</v>
      </c>
      <c r="I27" s="102">
        <v>68450</v>
      </c>
      <c r="J27" s="101">
        <f t="shared" si="0"/>
        <v>2082</v>
      </c>
      <c r="K27" s="100">
        <f t="shared" si="1"/>
        <v>329900</v>
      </c>
      <c r="L27" s="99"/>
    </row>
    <row r="28" spans="2:12" ht="20.25" customHeight="1">
      <c r="B28" s="21">
        <v>19</v>
      </c>
      <c r="C28" s="22" t="s">
        <v>23</v>
      </c>
      <c r="D28" s="120">
        <f>'１月'!J28</f>
        <v>750</v>
      </c>
      <c r="E28" s="116">
        <f>'１月'!K28</f>
        <v>82500</v>
      </c>
      <c r="F28" s="105">
        <v>1200</v>
      </c>
      <c r="G28" s="104">
        <v>132000</v>
      </c>
      <c r="H28" s="103">
        <v>1170</v>
      </c>
      <c r="I28" s="102">
        <v>128700</v>
      </c>
      <c r="J28" s="101">
        <f t="shared" si="0"/>
        <v>780</v>
      </c>
      <c r="K28" s="100">
        <f t="shared" si="1"/>
        <v>85800</v>
      </c>
      <c r="L28" s="99"/>
    </row>
    <row r="29" spans="2:12" s="60" customFormat="1" ht="20.25" customHeight="1">
      <c r="B29" s="61">
        <v>20</v>
      </c>
      <c r="C29" s="62" t="s">
        <v>24</v>
      </c>
      <c r="D29" s="120">
        <f>'１月'!J29</f>
        <v>1088</v>
      </c>
      <c r="E29" s="116">
        <f>'１月'!K29</f>
        <v>309197</v>
      </c>
      <c r="F29" s="74">
        <f>20+44</f>
        <v>64</v>
      </c>
      <c r="G29" s="111">
        <f>4000+50086</f>
        <v>54086</v>
      </c>
      <c r="H29" s="110">
        <f>20+46</f>
        <v>66</v>
      </c>
      <c r="I29" s="109">
        <f>4000+38977</f>
        <v>42977</v>
      </c>
      <c r="J29" s="108">
        <f t="shared" si="0"/>
        <v>1086</v>
      </c>
      <c r="K29" s="107">
        <f t="shared" si="1"/>
        <v>320306</v>
      </c>
      <c r="L29" s="106"/>
    </row>
    <row r="30" spans="2:12" s="60" customFormat="1" ht="20.25" customHeight="1">
      <c r="B30" s="61">
        <v>21</v>
      </c>
      <c r="C30" s="62" t="s">
        <v>25</v>
      </c>
      <c r="D30" s="120">
        <f>'１月'!J30</f>
        <v>1378</v>
      </c>
      <c r="E30" s="116">
        <f>'１月'!K30</f>
        <v>784027</v>
      </c>
      <c r="F30" s="112">
        <f>317+303</f>
        <v>620</v>
      </c>
      <c r="G30" s="111">
        <f>155592+50065</f>
        <v>205657</v>
      </c>
      <c r="H30" s="110">
        <f>282+312</f>
        <v>594</v>
      </c>
      <c r="I30" s="109">
        <f>147027+40441</f>
        <v>187468</v>
      </c>
      <c r="J30" s="108">
        <f t="shared" si="0"/>
        <v>1404</v>
      </c>
      <c r="K30" s="107">
        <f t="shared" si="1"/>
        <v>802216</v>
      </c>
      <c r="L30" s="106"/>
    </row>
    <row r="31" spans="2:12" s="60" customFormat="1" ht="20.25" customHeight="1">
      <c r="B31" s="61">
        <v>22</v>
      </c>
      <c r="C31" s="62" t="s">
        <v>26</v>
      </c>
      <c r="D31" s="120">
        <f>'１月'!J31</f>
        <v>0</v>
      </c>
      <c r="E31" s="116">
        <f>'１月'!K31</f>
        <v>0</v>
      </c>
      <c r="F31" s="112">
        <v>0</v>
      </c>
      <c r="G31" s="111">
        <v>0</v>
      </c>
      <c r="H31" s="110">
        <v>0</v>
      </c>
      <c r="I31" s="109">
        <v>0</v>
      </c>
      <c r="J31" s="108">
        <f t="shared" si="0"/>
        <v>0</v>
      </c>
      <c r="K31" s="107">
        <f t="shared" si="1"/>
        <v>0</v>
      </c>
      <c r="L31" s="106"/>
    </row>
    <row r="32" spans="2:12" s="60" customFormat="1" ht="20.25" customHeight="1">
      <c r="B32" s="61">
        <v>23</v>
      </c>
      <c r="C32" s="62" t="s">
        <v>27</v>
      </c>
      <c r="D32" s="120">
        <f>'１月'!J32</f>
        <v>33</v>
      </c>
      <c r="E32" s="116">
        <f>'１月'!K32</f>
        <v>49235</v>
      </c>
      <c r="F32" s="112">
        <v>5</v>
      </c>
      <c r="G32" s="111">
        <v>4000</v>
      </c>
      <c r="H32" s="110">
        <v>5</v>
      </c>
      <c r="I32" s="109">
        <v>4387</v>
      </c>
      <c r="J32" s="108">
        <f t="shared" si="0"/>
        <v>33</v>
      </c>
      <c r="K32" s="107">
        <f t="shared" si="1"/>
        <v>48848</v>
      </c>
      <c r="L32" s="106"/>
    </row>
    <row r="33" spans="2:12" s="60" customFormat="1" ht="20.25" customHeight="1">
      <c r="B33" s="61">
        <v>24</v>
      </c>
      <c r="C33" s="62" t="s">
        <v>28</v>
      </c>
      <c r="D33" s="120">
        <f>'１月'!J33</f>
        <v>23848</v>
      </c>
      <c r="E33" s="116">
        <f>'１月'!K33</f>
        <v>7922608</v>
      </c>
      <c r="F33" s="112">
        <v>15001</v>
      </c>
      <c r="G33" s="111">
        <v>4491673</v>
      </c>
      <c r="H33" s="72">
        <v>15224</v>
      </c>
      <c r="I33" s="109">
        <v>4559170</v>
      </c>
      <c r="J33" s="108">
        <f t="shared" si="0"/>
        <v>23625</v>
      </c>
      <c r="K33" s="107">
        <f t="shared" si="1"/>
        <v>7855111</v>
      </c>
      <c r="L33" s="106"/>
    </row>
    <row r="34" spans="2:12" s="60" customFormat="1" ht="32.25" customHeight="1">
      <c r="B34" s="61">
        <v>25</v>
      </c>
      <c r="C34" s="62" t="s">
        <v>29</v>
      </c>
      <c r="D34" s="120">
        <f>'１月'!J34</f>
        <v>88425</v>
      </c>
      <c r="E34" s="116">
        <f>'１月'!K34</f>
        <v>5968723</v>
      </c>
      <c r="F34" s="112">
        <f>34738+223</f>
        <v>34961</v>
      </c>
      <c r="G34" s="111">
        <f>5206248+235000</f>
        <v>5441248</v>
      </c>
      <c r="H34" s="110">
        <f>31203+217</f>
        <v>31420</v>
      </c>
      <c r="I34" s="109">
        <f>4468561+245900</f>
        <v>4714461</v>
      </c>
      <c r="J34" s="108">
        <f t="shared" si="0"/>
        <v>91966</v>
      </c>
      <c r="K34" s="107">
        <f t="shared" si="1"/>
        <v>6695510</v>
      </c>
      <c r="L34" s="106"/>
    </row>
    <row r="35" spans="2:12" s="60" customFormat="1" ht="20.25" customHeight="1">
      <c r="B35" s="61">
        <v>26</v>
      </c>
      <c r="C35" s="62" t="s">
        <v>30</v>
      </c>
      <c r="D35" s="122">
        <f>'１月'!J35</f>
        <v>4479</v>
      </c>
      <c r="E35" s="123">
        <f>'１月'!K35</f>
        <v>3577932</v>
      </c>
      <c r="F35" s="112">
        <v>2596</v>
      </c>
      <c r="G35" s="111">
        <v>413973</v>
      </c>
      <c r="H35" s="110">
        <v>782</v>
      </c>
      <c r="I35" s="109">
        <v>103287</v>
      </c>
      <c r="J35" s="108">
        <f t="shared" si="0"/>
        <v>6293</v>
      </c>
      <c r="K35" s="107">
        <f t="shared" si="1"/>
        <v>3888618</v>
      </c>
      <c r="L35" s="106"/>
    </row>
    <row r="36" spans="2:12" s="60" customFormat="1" ht="20.25" customHeight="1">
      <c r="B36" s="61">
        <v>27</v>
      </c>
      <c r="C36" s="62" t="s">
        <v>31</v>
      </c>
      <c r="D36" s="120">
        <f>'１月'!J36</f>
        <v>334</v>
      </c>
      <c r="E36" s="116">
        <f>'１月'!K36</f>
        <v>67560</v>
      </c>
      <c r="F36" s="112">
        <v>377</v>
      </c>
      <c r="G36" s="111">
        <v>76200</v>
      </c>
      <c r="H36" s="110">
        <v>364</v>
      </c>
      <c r="I36" s="109">
        <v>78280</v>
      </c>
      <c r="J36" s="108">
        <f t="shared" si="0"/>
        <v>347</v>
      </c>
      <c r="K36" s="107">
        <f t="shared" si="1"/>
        <v>65480</v>
      </c>
      <c r="L36" s="106"/>
    </row>
    <row r="37" spans="2:12" s="60" customFormat="1" ht="20.25" customHeight="1">
      <c r="B37" s="61">
        <v>28</v>
      </c>
      <c r="C37" s="62" t="s">
        <v>33</v>
      </c>
      <c r="D37" s="120">
        <f>'１月'!J37</f>
        <v>0</v>
      </c>
      <c r="E37" s="116">
        <f>'１月'!K37</f>
        <v>0</v>
      </c>
      <c r="F37" s="112">
        <v>0</v>
      </c>
      <c r="G37" s="111">
        <v>0</v>
      </c>
      <c r="H37" s="110">
        <v>0</v>
      </c>
      <c r="I37" s="109">
        <v>0</v>
      </c>
      <c r="J37" s="108">
        <f t="shared" si="0"/>
        <v>0</v>
      </c>
      <c r="K37" s="107">
        <f t="shared" si="1"/>
        <v>0</v>
      </c>
      <c r="L37" s="106"/>
    </row>
    <row r="38" spans="2:12" s="60" customFormat="1" ht="20.25" customHeight="1">
      <c r="B38" s="61">
        <v>29</v>
      </c>
      <c r="C38" s="62" t="s">
        <v>32</v>
      </c>
      <c r="D38" s="120">
        <f>'１月'!J38</f>
        <v>0</v>
      </c>
      <c r="E38" s="116">
        <f>'１月'!K38</f>
        <v>0</v>
      </c>
      <c r="F38" s="112">
        <v>0</v>
      </c>
      <c r="G38" s="111">
        <v>0</v>
      </c>
      <c r="H38" s="110">
        <v>0</v>
      </c>
      <c r="I38" s="109">
        <v>0</v>
      </c>
      <c r="J38" s="108">
        <f t="shared" si="0"/>
        <v>0</v>
      </c>
      <c r="K38" s="107">
        <f t="shared" si="1"/>
        <v>0</v>
      </c>
      <c r="L38" s="106"/>
    </row>
    <row r="39" spans="2:12" s="60" customFormat="1" ht="20.25" customHeight="1">
      <c r="B39" s="61">
        <v>30</v>
      </c>
      <c r="C39" s="62" t="s">
        <v>34</v>
      </c>
      <c r="D39" s="120">
        <f>'１月'!J39</f>
        <v>1224</v>
      </c>
      <c r="E39" s="116">
        <f>'１月'!K39</f>
        <v>1346400</v>
      </c>
      <c r="F39" s="112">
        <v>40</v>
      </c>
      <c r="G39" s="111">
        <v>44000</v>
      </c>
      <c r="H39" s="110">
        <v>60</v>
      </c>
      <c r="I39" s="109">
        <v>66000</v>
      </c>
      <c r="J39" s="108">
        <f t="shared" si="0"/>
        <v>1204</v>
      </c>
      <c r="K39" s="107">
        <f t="shared" si="1"/>
        <v>1324400</v>
      </c>
      <c r="L39" s="106"/>
    </row>
    <row r="40" spans="2:12" s="60" customFormat="1" ht="20.25" customHeight="1">
      <c r="B40" s="61">
        <v>31</v>
      </c>
      <c r="C40" s="62" t="s">
        <v>35</v>
      </c>
      <c r="D40" s="120">
        <f>'１月'!J40</f>
        <v>0</v>
      </c>
      <c r="E40" s="116">
        <f>'１月'!K40</f>
        <v>0</v>
      </c>
      <c r="F40" s="112">
        <v>0</v>
      </c>
      <c r="G40" s="111">
        <v>0</v>
      </c>
      <c r="H40" s="110">
        <v>0</v>
      </c>
      <c r="I40" s="109">
        <v>0</v>
      </c>
      <c r="J40" s="108">
        <f t="shared" si="0"/>
        <v>0</v>
      </c>
      <c r="K40" s="107">
        <f t="shared" si="1"/>
        <v>0</v>
      </c>
      <c r="L40" s="106"/>
    </row>
    <row r="41" spans="2:12" s="60" customFormat="1" ht="20.25" customHeight="1">
      <c r="B41" s="61">
        <v>32</v>
      </c>
      <c r="C41" s="62" t="s">
        <v>36</v>
      </c>
      <c r="D41" s="120">
        <f>'１月'!J41</f>
        <v>0</v>
      </c>
      <c r="E41" s="116">
        <f>'１月'!K41</f>
        <v>0</v>
      </c>
      <c r="F41" s="112">
        <v>0</v>
      </c>
      <c r="G41" s="111">
        <v>0</v>
      </c>
      <c r="H41" s="110">
        <v>0</v>
      </c>
      <c r="I41" s="109">
        <v>0</v>
      </c>
      <c r="J41" s="108">
        <f t="shared" si="0"/>
        <v>0</v>
      </c>
      <c r="K41" s="107">
        <f t="shared" si="1"/>
        <v>0</v>
      </c>
      <c r="L41" s="106"/>
    </row>
    <row r="42" spans="2:12" s="60" customFormat="1" ht="20.25" customHeight="1">
      <c r="B42" s="61">
        <v>33</v>
      </c>
      <c r="C42" s="62" t="s">
        <v>37</v>
      </c>
      <c r="D42" s="120">
        <f>'１月'!J42</f>
        <v>27352</v>
      </c>
      <c r="E42" s="116">
        <f>'１月'!K42</f>
        <v>2578602</v>
      </c>
      <c r="F42" s="112">
        <v>19058</v>
      </c>
      <c r="G42" s="111">
        <v>5208330</v>
      </c>
      <c r="H42" s="110">
        <v>17288</v>
      </c>
      <c r="I42" s="109">
        <v>4832014</v>
      </c>
      <c r="J42" s="108">
        <f t="shared" si="0"/>
        <v>29122</v>
      </c>
      <c r="K42" s="107">
        <f t="shared" si="1"/>
        <v>2954918</v>
      </c>
      <c r="L42" s="106"/>
    </row>
    <row r="43" spans="2:12" s="60" customFormat="1" ht="33" customHeight="1">
      <c r="B43" s="61">
        <v>34</v>
      </c>
      <c r="C43" s="62" t="s">
        <v>38</v>
      </c>
      <c r="D43" s="120">
        <f>'１月'!J43</f>
        <v>7675</v>
      </c>
      <c r="E43" s="116">
        <f>'１月'!K43</f>
        <v>8089939</v>
      </c>
      <c r="F43" s="112">
        <v>8879</v>
      </c>
      <c r="G43" s="111">
        <v>13877350</v>
      </c>
      <c r="H43" s="110">
        <v>8647</v>
      </c>
      <c r="I43" s="109">
        <v>11095968</v>
      </c>
      <c r="J43" s="108">
        <f t="shared" si="0"/>
        <v>7907</v>
      </c>
      <c r="K43" s="107">
        <f t="shared" si="1"/>
        <v>10871321</v>
      </c>
      <c r="L43" s="106"/>
    </row>
    <row r="44" spans="2:12" s="60" customFormat="1" ht="20.25" customHeight="1">
      <c r="B44" s="61">
        <v>35</v>
      </c>
      <c r="C44" s="62" t="s">
        <v>39</v>
      </c>
      <c r="D44" s="120">
        <f>'１月'!J44</f>
        <v>20</v>
      </c>
      <c r="E44" s="116">
        <f>'１月'!K44</f>
        <v>115080</v>
      </c>
      <c r="F44" s="112">
        <v>3</v>
      </c>
      <c r="G44" s="111">
        <v>3210</v>
      </c>
      <c r="H44" s="110">
        <v>4</v>
      </c>
      <c r="I44" s="109">
        <v>4650</v>
      </c>
      <c r="J44" s="108">
        <f t="shared" si="0"/>
        <v>19</v>
      </c>
      <c r="K44" s="107">
        <f t="shared" si="1"/>
        <v>113640</v>
      </c>
      <c r="L44" s="106"/>
    </row>
    <row r="45" spans="2:12" s="60" customFormat="1" ht="20.25" customHeight="1">
      <c r="B45" s="61">
        <v>36</v>
      </c>
      <c r="C45" s="62" t="s">
        <v>40</v>
      </c>
      <c r="D45" s="120">
        <f>'１月'!J45</f>
        <v>4145</v>
      </c>
      <c r="E45" s="116">
        <f>'１月'!K45</f>
        <v>3445552</v>
      </c>
      <c r="F45" s="112">
        <v>3369</v>
      </c>
      <c r="G45" s="111">
        <v>2690665</v>
      </c>
      <c r="H45" s="110">
        <v>2760</v>
      </c>
      <c r="I45" s="109">
        <v>2443428</v>
      </c>
      <c r="J45" s="108">
        <f t="shared" si="0"/>
        <v>4754</v>
      </c>
      <c r="K45" s="107">
        <f t="shared" si="1"/>
        <v>3692789</v>
      </c>
      <c r="L45" s="106"/>
    </row>
    <row r="46" spans="2:12" ht="20.25" customHeight="1">
      <c r="B46" s="21">
        <v>37</v>
      </c>
      <c r="C46" s="22" t="s">
        <v>41</v>
      </c>
      <c r="D46" s="120">
        <f>'１月'!J46</f>
        <v>10214</v>
      </c>
      <c r="E46" s="116">
        <f>'１月'!K46</f>
        <v>3214884</v>
      </c>
      <c r="F46" s="105">
        <v>3180</v>
      </c>
      <c r="G46" s="104">
        <v>609112</v>
      </c>
      <c r="H46" s="103">
        <v>10218</v>
      </c>
      <c r="I46" s="102">
        <v>1782596</v>
      </c>
      <c r="J46" s="101">
        <f t="shared" si="0"/>
        <v>3176</v>
      </c>
      <c r="K46" s="100">
        <f t="shared" si="1"/>
        <v>2041400</v>
      </c>
      <c r="L46" s="99"/>
    </row>
    <row r="47" spans="2:12" ht="32.25" customHeight="1">
      <c r="B47" s="21">
        <v>38</v>
      </c>
      <c r="C47" s="22" t="s">
        <v>42</v>
      </c>
      <c r="D47" s="120">
        <f>'１月'!J47</f>
        <v>2871</v>
      </c>
      <c r="E47" s="116">
        <f>'１月'!K47</f>
        <v>1879163</v>
      </c>
      <c r="F47" s="105">
        <v>809</v>
      </c>
      <c r="G47" s="104">
        <v>437897</v>
      </c>
      <c r="H47" s="103">
        <v>837</v>
      </c>
      <c r="I47" s="102">
        <v>416618</v>
      </c>
      <c r="J47" s="101">
        <f t="shared" si="0"/>
        <v>2843</v>
      </c>
      <c r="K47" s="100">
        <f t="shared" si="1"/>
        <v>1900442</v>
      </c>
      <c r="L47" s="99"/>
    </row>
    <row r="48" spans="2:12" ht="20.25" customHeight="1">
      <c r="B48" s="21">
        <v>39</v>
      </c>
      <c r="C48" s="22" t="s">
        <v>43</v>
      </c>
      <c r="D48" s="120">
        <f>'１月'!J48</f>
        <v>0</v>
      </c>
      <c r="E48" s="116">
        <f>'１月'!K48</f>
        <v>0</v>
      </c>
      <c r="F48" s="105">
        <v>0</v>
      </c>
      <c r="G48" s="104">
        <v>0</v>
      </c>
      <c r="H48" s="103">
        <v>0</v>
      </c>
      <c r="I48" s="102">
        <v>0</v>
      </c>
      <c r="J48" s="101">
        <f t="shared" si="0"/>
        <v>0</v>
      </c>
      <c r="K48" s="100">
        <f t="shared" si="1"/>
        <v>0</v>
      </c>
      <c r="L48" s="99"/>
    </row>
    <row r="49" spans="2:12" ht="20.25" customHeight="1" thickBot="1">
      <c r="B49" s="23">
        <v>40</v>
      </c>
      <c r="C49" s="24" t="s">
        <v>50</v>
      </c>
      <c r="D49" s="120">
        <f>'１月'!J49</f>
        <v>7389</v>
      </c>
      <c r="E49" s="116">
        <f>'１月'!K49</f>
        <v>2215959</v>
      </c>
      <c r="F49" s="98">
        <v>4685</v>
      </c>
      <c r="G49" s="97">
        <v>1315705</v>
      </c>
      <c r="H49" s="96">
        <v>5365</v>
      </c>
      <c r="I49" s="95">
        <v>1249268</v>
      </c>
      <c r="J49" s="94">
        <f t="shared" si="0"/>
        <v>6709</v>
      </c>
      <c r="K49" s="93">
        <f t="shared" si="1"/>
        <v>2282396</v>
      </c>
      <c r="L49" s="92"/>
    </row>
    <row r="50" spans="2:12" ht="21" customHeight="1" thickBot="1" thickTop="1">
      <c r="B50" s="140" t="s">
        <v>46</v>
      </c>
      <c r="C50" s="141"/>
      <c r="D50" s="91">
        <f aca="true" t="shared" si="2" ref="D50:I50">SUM(D10:D49)</f>
        <v>275629</v>
      </c>
      <c r="E50" s="90">
        <f t="shared" si="2"/>
        <v>68362356</v>
      </c>
      <c r="F50" s="89">
        <f t="shared" si="2"/>
        <v>119399</v>
      </c>
      <c r="G50" s="87">
        <f t="shared" si="2"/>
        <v>43908426</v>
      </c>
      <c r="H50" s="89">
        <f t="shared" si="2"/>
        <v>114096</v>
      </c>
      <c r="I50" s="87">
        <f t="shared" si="2"/>
        <v>39676240</v>
      </c>
      <c r="J50" s="88">
        <f t="shared" si="0"/>
        <v>280932</v>
      </c>
      <c r="K50" s="87">
        <f t="shared" si="1"/>
        <v>72594542</v>
      </c>
      <c r="L50" s="86"/>
    </row>
    <row r="51" spans="10:11" ht="13.5">
      <c r="J51" s="85"/>
      <c r="K51" s="85"/>
    </row>
    <row r="52" spans="10:11" ht="13.5">
      <c r="J52" s="84"/>
      <c r="K52" s="84"/>
    </row>
    <row r="53" spans="10:11" ht="13.5">
      <c r="J53" s="77"/>
      <c r="K53" s="77"/>
    </row>
    <row r="55" spans="4:11" ht="13.5">
      <c r="D55" s="75"/>
      <c r="E55" s="75"/>
      <c r="F55" s="75"/>
      <c r="G55" s="75"/>
      <c r="H55" s="75"/>
      <c r="I55" s="75"/>
      <c r="J55" s="82"/>
      <c r="K55" s="82"/>
    </row>
    <row r="56" spans="4:11" ht="13.5">
      <c r="D56" s="75"/>
      <c r="E56" s="75"/>
      <c r="F56" s="75"/>
      <c r="G56" s="75"/>
      <c r="H56" s="75"/>
      <c r="I56" s="75"/>
      <c r="J56" s="82"/>
      <c r="K56" s="82"/>
    </row>
    <row r="57" spans="4:11" ht="13.5">
      <c r="D57" s="80"/>
      <c r="E57" s="80"/>
      <c r="F57" s="80"/>
      <c r="G57" s="80"/>
      <c r="H57" s="80"/>
      <c r="I57" s="80"/>
      <c r="J57" s="80"/>
      <c r="K57" s="80"/>
    </row>
    <row r="58" spans="4:11" ht="13.5">
      <c r="D58" s="80"/>
      <c r="E58" s="80"/>
      <c r="F58" s="80"/>
      <c r="G58" s="80"/>
      <c r="H58" s="80"/>
      <c r="I58" s="80"/>
      <c r="J58" s="80"/>
      <c r="K58" s="80"/>
    </row>
    <row r="59" spans="4:11" ht="13.5">
      <c r="D59" s="80"/>
      <c r="E59" s="80"/>
      <c r="F59" s="80"/>
      <c r="G59" s="80"/>
      <c r="H59" s="80"/>
      <c r="I59" s="80"/>
      <c r="J59" s="83"/>
      <c r="K59" s="83"/>
    </row>
    <row r="60" spans="4:11" ht="13.5">
      <c r="D60" s="80"/>
      <c r="E60" s="80"/>
      <c r="F60" s="80"/>
      <c r="G60" s="80"/>
      <c r="H60" s="80"/>
      <c r="I60" s="80"/>
      <c r="J60" s="83"/>
      <c r="K60" s="83"/>
    </row>
    <row r="61" spans="4:11" ht="13.5">
      <c r="D61" s="80"/>
      <c r="E61" s="80"/>
      <c r="F61" s="80"/>
      <c r="G61" s="80"/>
      <c r="H61" s="80"/>
      <c r="I61" s="80"/>
      <c r="J61" s="80"/>
      <c r="K61" s="80"/>
    </row>
    <row r="62" spans="4:11" ht="13.5">
      <c r="D62" s="75"/>
      <c r="E62" s="75"/>
      <c r="F62" s="75"/>
      <c r="G62" s="75"/>
      <c r="H62" s="75"/>
      <c r="I62" s="75"/>
      <c r="J62" s="75"/>
      <c r="K62" s="75"/>
    </row>
    <row r="63" spans="4:11" ht="13.5">
      <c r="D63" s="75"/>
      <c r="E63" s="75"/>
      <c r="F63" s="75"/>
      <c r="G63" s="75"/>
      <c r="H63" s="75"/>
      <c r="I63" s="75"/>
      <c r="J63" s="82"/>
      <c r="K63" s="82"/>
    </row>
    <row r="64" spans="4:11" ht="13.5">
      <c r="D64" s="75"/>
      <c r="E64" s="75"/>
      <c r="F64" s="75"/>
      <c r="G64" s="75"/>
      <c r="H64" s="75"/>
      <c r="I64" s="75"/>
      <c r="J64" s="82"/>
      <c r="K64" s="82"/>
    </row>
    <row r="65" spans="4:11" ht="13.5">
      <c r="D65" s="75"/>
      <c r="E65" s="75"/>
      <c r="F65" s="75"/>
      <c r="G65" s="75"/>
      <c r="H65" s="75"/>
      <c r="I65" s="75"/>
      <c r="J65" s="75"/>
      <c r="K65" s="75"/>
    </row>
  </sheetData>
  <sheetProtection/>
  <mergeCells count="9">
    <mergeCell ref="B50:C50"/>
    <mergeCell ref="B2:L2"/>
    <mergeCell ref="D7:E7"/>
    <mergeCell ref="F7:G7"/>
    <mergeCell ref="H7:I7"/>
    <mergeCell ref="J7:K7"/>
    <mergeCell ref="J4:L4"/>
    <mergeCell ref="J5:L5"/>
    <mergeCell ref="L7:L9"/>
  </mergeCells>
  <printOptions horizontalCentered="1"/>
  <pageMargins left="0.3937007874015748" right="0.3937007874015748" top="0.5905511811023623" bottom="0.3937007874015748" header="0" footer="0"/>
  <pageSetup fitToHeight="1" fitToWidth="1" horizontalDpi="300" verticalDpi="300" orientation="portrait" paperSize="9" scale="8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65"/>
  <sheetViews>
    <sheetView zoomScalePageLayoutView="0" workbookViewId="0" topLeftCell="A1">
      <pane xSplit="5" ySplit="9" topLeftCell="F37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E55" sqref="E55"/>
    </sheetView>
  </sheetViews>
  <sheetFormatPr defaultColWidth="9.00390625" defaultRowHeight="13.5"/>
  <cols>
    <col min="1" max="1" width="4.375" style="1" customWidth="1"/>
    <col min="2" max="2" width="3.375" style="1" customWidth="1"/>
    <col min="3" max="3" width="15.125" style="1" customWidth="1"/>
    <col min="4" max="4" width="10.00390625" style="1" customWidth="1"/>
    <col min="5" max="5" width="11.25390625" style="1" customWidth="1"/>
    <col min="6" max="6" width="10.00390625" style="1" customWidth="1"/>
    <col min="7" max="7" width="11.25390625" style="1" customWidth="1"/>
    <col min="8" max="8" width="10.00390625" style="1" customWidth="1"/>
    <col min="9" max="9" width="11.25390625" style="1" customWidth="1"/>
    <col min="10" max="10" width="10.00390625" style="1" customWidth="1"/>
    <col min="11" max="11" width="11.25390625" style="1" customWidth="1"/>
    <col min="12" max="12" width="9.375" style="1" customWidth="1"/>
    <col min="13" max="13" width="4.00390625" style="1" customWidth="1"/>
    <col min="14" max="16384" width="9.00390625" style="1" customWidth="1"/>
  </cols>
  <sheetData>
    <row r="2" spans="2:12" ht="18.75" customHeight="1">
      <c r="B2" s="142" t="s">
        <v>47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2:12" ht="15" customHeight="1">
      <c r="B3" s="28" t="str">
        <f>'１月'!$B$3</f>
        <v>平成２８年</v>
      </c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2:12" ht="18" customHeight="1">
      <c r="B4" s="27"/>
      <c r="C4" s="54" t="s">
        <v>64</v>
      </c>
      <c r="E4" s="28" t="s">
        <v>54</v>
      </c>
      <c r="I4" s="121" t="s">
        <v>52</v>
      </c>
      <c r="J4" s="152" t="s">
        <v>57</v>
      </c>
      <c r="K4" s="152"/>
      <c r="L4" s="152"/>
    </row>
    <row r="5" spans="3:12" ht="18" customHeight="1">
      <c r="C5" s="1" t="s">
        <v>59</v>
      </c>
      <c r="I5" s="2" t="s">
        <v>53</v>
      </c>
      <c r="J5" s="148"/>
      <c r="K5" s="148"/>
      <c r="L5" s="148"/>
    </row>
    <row r="6" spans="5:12" ht="18" customHeight="1" thickBot="1">
      <c r="E6" s="1" t="s">
        <v>58</v>
      </c>
      <c r="I6" s="2"/>
      <c r="J6" s="55"/>
      <c r="K6" s="55"/>
      <c r="L6" s="55"/>
    </row>
    <row r="7" spans="2:12" ht="18.75" customHeight="1">
      <c r="B7" s="3"/>
      <c r="C7" s="4" t="s">
        <v>48</v>
      </c>
      <c r="D7" s="143" t="s">
        <v>0</v>
      </c>
      <c r="E7" s="144"/>
      <c r="F7" s="145" t="s">
        <v>1</v>
      </c>
      <c r="G7" s="146"/>
      <c r="H7" s="144" t="s">
        <v>2</v>
      </c>
      <c r="I7" s="144"/>
      <c r="J7" s="145" t="s">
        <v>3</v>
      </c>
      <c r="K7" s="146"/>
      <c r="L7" s="149" t="s">
        <v>4</v>
      </c>
    </row>
    <row r="8" spans="2:12" ht="18.75" customHeight="1">
      <c r="B8" s="5"/>
      <c r="C8" s="6"/>
      <c r="D8" s="7" t="s">
        <v>44</v>
      </c>
      <c r="E8" s="8" t="s">
        <v>45</v>
      </c>
      <c r="F8" s="9" t="s">
        <v>44</v>
      </c>
      <c r="G8" s="10" t="s">
        <v>45</v>
      </c>
      <c r="H8" s="11" t="s">
        <v>44</v>
      </c>
      <c r="I8" s="8" t="s">
        <v>45</v>
      </c>
      <c r="J8" s="9" t="s">
        <v>44</v>
      </c>
      <c r="K8" s="10" t="s">
        <v>45</v>
      </c>
      <c r="L8" s="150"/>
    </row>
    <row r="9" spans="2:12" ht="18.75" customHeight="1" thickBot="1">
      <c r="B9" s="12" t="s">
        <v>49</v>
      </c>
      <c r="C9" s="13"/>
      <c r="D9" s="14" t="s">
        <v>55</v>
      </c>
      <c r="E9" s="15" t="s">
        <v>5</v>
      </c>
      <c r="F9" s="16" t="s">
        <v>55</v>
      </c>
      <c r="G9" s="17" t="s">
        <v>5</v>
      </c>
      <c r="H9" s="18" t="s">
        <v>55</v>
      </c>
      <c r="I9" s="15" t="s">
        <v>5</v>
      </c>
      <c r="J9" s="16" t="s">
        <v>55</v>
      </c>
      <c r="K9" s="17" t="s">
        <v>5</v>
      </c>
      <c r="L9" s="151"/>
    </row>
    <row r="10" spans="2:14" ht="20.25" customHeight="1" thickTop="1">
      <c r="B10" s="19">
        <v>1</v>
      </c>
      <c r="C10" s="20" t="s">
        <v>6</v>
      </c>
      <c r="D10" s="120">
        <f>'２月'!J10</f>
        <v>32242</v>
      </c>
      <c r="E10" s="116">
        <f>'２月'!K10</f>
        <v>8174283</v>
      </c>
      <c r="F10" s="119">
        <v>824</v>
      </c>
      <c r="G10" s="118">
        <v>85235</v>
      </c>
      <c r="H10" s="117">
        <v>1318</v>
      </c>
      <c r="I10" s="116">
        <v>238786</v>
      </c>
      <c r="J10" s="115">
        <f aca="true" t="shared" si="0" ref="J10:K50">D10+F10-H10</f>
        <v>31748</v>
      </c>
      <c r="K10" s="114">
        <f t="shared" si="0"/>
        <v>8020732</v>
      </c>
      <c r="L10" s="113"/>
      <c r="N10" s="60"/>
    </row>
    <row r="11" spans="2:12" ht="20.25" customHeight="1">
      <c r="B11" s="21">
        <v>2</v>
      </c>
      <c r="C11" s="22" t="s">
        <v>7</v>
      </c>
      <c r="D11" s="120">
        <f>'２月'!J11</f>
        <v>0</v>
      </c>
      <c r="E11" s="116">
        <f>'２月'!K11</f>
        <v>216</v>
      </c>
      <c r="F11" s="105">
        <v>0</v>
      </c>
      <c r="G11" s="104">
        <v>0</v>
      </c>
      <c r="H11" s="103">
        <v>0</v>
      </c>
      <c r="I11" s="102">
        <v>0</v>
      </c>
      <c r="J11" s="101">
        <f t="shared" si="0"/>
        <v>0</v>
      </c>
      <c r="K11" s="100">
        <f t="shared" si="0"/>
        <v>216</v>
      </c>
      <c r="L11" s="99"/>
    </row>
    <row r="12" spans="2:12" ht="20.25" customHeight="1">
      <c r="B12" s="21">
        <v>3</v>
      </c>
      <c r="C12" s="22" t="s">
        <v>8</v>
      </c>
      <c r="D12" s="120">
        <f>'２月'!J12</f>
        <v>0</v>
      </c>
      <c r="E12" s="116">
        <f>'２月'!K12</f>
        <v>0</v>
      </c>
      <c r="F12" s="105">
        <v>0</v>
      </c>
      <c r="G12" s="104">
        <v>0</v>
      </c>
      <c r="H12" s="103">
        <v>0</v>
      </c>
      <c r="I12" s="102">
        <v>0</v>
      </c>
      <c r="J12" s="101">
        <f t="shared" si="0"/>
        <v>0</v>
      </c>
      <c r="K12" s="100">
        <f t="shared" si="0"/>
        <v>0</v>
      </c>
      <c r="L12" s="99"/>
    </row>
    <row r="13" spans="2:12" ht="20.25" customHeight="1">
      <c r="B13" s="21">
        <v>4</v>
      </c>
      <c r="C13" s="22" t="s">
        <v>9</v>
      </c>
      <c r="D13" s="120">
        <f>'２月'!J13</f>
        <v>1193</v>
      </c>
      <c r="E13" s="116">
        <f>'２月'!K13</f>
        <v>175614</v>
      </c>
      <c r="F13" s="105">
        <v>40</v>
      </c>
      <c r="G13" s="104">
        <v>400</v>
      </c>
      <c r="H13" s="103">
        <v>196</v>
      </c>
      <c r="I13" s="102">
        <v>28324</v>
      </c>
      <c r="J13" s="101">
        <f t="shared" si="0"/>
        <v>1037</v>
      </c>
      <c r="K13" s="100">
        <f t="shared" si="0"/>
        <v>147690</v>
      </c>
      <c r="L13" s="99"/>
    </row>
    <row r="14" spans="2:12" ht="20.25" customHeight="1">
      <c r="B14" s="21">
        <v>5</v>
      </c>
      <c r="C14" s="22" t="s">
        <v>10</v>
      </c>
      <c r="D14" s="120">
        <f>'２月'!J14</f>
        <v>0</v>
      </c>
      <c r="E14" s="116">
        <f>'２月'!K14</f>
        <v>0</v>
      </c>
      <c r="F14" s="105">
        <v>0</v>
      </c>
      <c r="G14" s="104">
        <v>0</v>
      </c>
      <c r="H14" s="103">
        <v>0</v>
      </c>
      <c r="I14" s="102">
        <v>0</v>
      </c>
      <c r="J14" s="101">
        <f t="shared" si="0"/>
        <v>0</v>
      </c>
      <c r="K14" s="100">
        <f t="shared" si="0"/>
        <v>0</v>
      </c>
      <c r="L14" s="99"/>
    </row>
    <row r="15" spans="2:12" ht="20.25" customHeight="1">
      <c r="B15" s="21">
        <v>6</v>
      </c>
      <c r="C15" s="22" t="s">
        <v>11</v>
      </c>
      <c r="D15" s="120">
        <f>'２月'!J15</f>
        <v>0</v>
      </c>
      <c r="E15" s="116">
        <f>'２月'!K15</f>
        <v>0</v>
      </c>
      <c r="F15" s="105">
        <v>0</v>
      </c>
      <c r="G15" s="104">
        <v>0</v>
      </c>
      <c r="H15" s="103">
        <v>0</v>
      </c>
      <c r="I15" s="102">
        <v>0</v>
      </c>
      <c r="J15" s="101">
        <f t="shared" si="0"/>
        <v>0</v>
      </c>
      <c r="K15" s="100">
        <f t="shared" si="0"/>
        <v>0</v>
      </c>
      <c r="L15" s="99"/>
    </row>
    <row r="16" spans="2:12" ht="20.25" customHeight="1">
      <c r="B16" s="21">
        <v>7</v>
      </c>
      <c r="C16" s="22" t="s">
        <v>12</v>
      </c>
      <c r="D16" s="120">
        <f>'２月'!J16</f>
        <v>0</v>
      </c>
      <c r="E16" s="116">
        <f>'２月'!K16</f>
        <v>0</v>
      </c>
      <c r="F16" s="105">
        <v>0</v>
      </c>
      <c r="G16" s="104">
        <v>0</v>
      </c>
      <c r="H16" s="103">
        <v>0</v>
      </c>
      <c r="I16" s="102">
        <v>0</v>
      </c>
      <c r="J16" s="101">
        <f t="shared" si="0"/>
        <v>0</v>
      </c>
      <c r="K16" s="100">
        <f t="shared" si="0"/>
        <v>0</v>
      </c>
      <c r="L16" s="99"/>
    </row>
    <row r="17" spans="2:12" ht="20.25" customHeight="1">
      <c r="B17" s="21">
        <v>8</v>
      </c>
      <c r="C17" s="22" t="s">
        <v>13</v>
      </c>
      <c r="D17" s="120">
        <f>'２月'!J17</f>
        <v>0</v>
      </c>
      <c r="E17" s="116">
        <f>'２月'!K17</f>
        <v>0</v>
      </c>
      <c r="F17" s="105">
        <v>0</v>
      </c>
      <c r="G17" s="104">
        <v>0</v>
      </c>
      <c r="H17" s="103">
        <v>0</v>
      </c>
      <c r="I17" s="102">
        <v>0</v>
      </c>
      <c r="J17" s="101">
        <f t="shared" si="0"/>
        <v>0</v>
      </c>
      <c r="K17" s="100">
        <f t="shared" si="0"/>
        <v>0</v>
      </c>
      <c r="L17" s="99"/>
    </row>
    <row r="18" spans="2:12" ht="20.25" customHeight="1">
      <c r="B18" s="21">
        <v>9</v>
      </c>
      <c r="C18" s="22" t="s">
        <v>14</v>
      </c>
      <c r="D18" s="120">
        <f>'２月'!J18</f>
        <v>59</v>
      </c>
      <c r="E18" s="116">
        <f>'２月'!K18</f>
        <v>10995</v>
      </c>
      <c r="F18" s="105">
        <v>73</v>
      </c>
      <c r="G18" s="104">
        <v>6960</v>
      </c>
      <c r="H18" s="103">
        <v>68</v>
      </c>
      <c r="I18" s="102">
        <v>7040</v>
      </c>
      <c r="J18" s="101">
        <f t="shared" si="0"/>
        <v>64</v>
      </c>
      <c r="K18" s="100">
        <f t="shared" si="0"/>
        <v>10915</v>
      </c>
      <c r="L18" s="99"/>
    </row>
    <row r="19" spans="2:12" ht="20.25" customHeight="1">
      <c r="B19" s="21">
        <v>10</v>
      </c>
      <c r="C19" s="22" t="s">
        <v>15</v>
      </c>
      <c r="D19" s="120">
        <f>'２月'!J19</f>
        <v>0</v>
      </c>
      <c r="E19" s="116">
        <f>'２月'!K19</f>
        <v>0</v>
      </c>
      <c r="F19" s="105">
        <v>0</v>
      </c>
      <c r="G19" s="104">
        <v>0</v>
      </c>
      <c r="H19" s="103">
        <v>0</v>
      </c>
      <c r="I19" s="102">
        <v>0</v>
      </c>
      <c r="J19" s="101">
        <f t="shared" si="0"/>
        <v>0</v>
      </c>
      <c r="K19" s="100">
        <f t="shared" si="0"/>
        <v>0</v>
      </c>
      <c r="L19" s="99"/>
    </row>
    <row r="20" spans="2:12" ht="20.25" customHeight="1">
      <c r="B20" s="21">
        <v>11</v>
      </c>
      <c r="C20" s="22" t="s">
        <v>16</v>
      </c>
      <c r="D20" s="120">
        <f>'２月'!J20</f>
        <v>23</v>
      </c>
      <c r="E20" s="116">
        <f>'２月'!K20</f>
        <v>1128</v>
      </c>
      <c r="F20" s="105">
        <v>17</v>
      </c>
      <c r="G20" s="104">
        <v>819</v>
      </c>
      <c r="H20" s="103">
        <v>26</v>
      </c>
      <c r="I20" s="102">
        <v>1278</v>
      </c>
      <c r="J20" s="101">
        <f t="shared" si="0"/>
        <v>14</v>
      </c>
      <c r="K20" s="100">
        <f t="shared" si="0"/>
        <v>669</v>
      </c>
      <c r="L20" s="99"/>
    </row>
    <row r="21" spans="2:12" ht="20.25" customHeight="1">
      <c r="B21" s="21">
        <v>12</v>
      </c>
      <c r="C21" s="22" t="s">
        <v>17</v>
      </c>
      <c r="D21" s="120">
        <f>'２月'!J21</f>
        <v>0</v>
      </c>
      <c r="E21" s="116">
        <f>'２月'!K21</f>
        <v>0</v>
      </c>
      <c r="F21" s="105">
        <v>0</v>
      </c>
      <c r="G21" s="104">
        <v>0</v>
      </c>
      <c r="H21" s="103">
        <v>0</v>
      </c>
      <c r="I21" s="102">
        <v>0</v>
      </c>
      <c r="J21" s="101">
        <f t="shared" si="0"/>
        <v>0</v>
      </c>
      <c r="K21" s="100">
        <f t="shared" si="0"/>
        <v>0</v>
      </c>
      <c r="L21" s="99"/>
    </row>
    <row r="22" spans="2:12" ht="20.25" customHeight="1">
      <c r="B22" s="21">
        <v>13</v>
      </c>
      <c r="C22" s="22" t="s">
        <v>18</v>
      </c>
      <c r="D22" s="120">
        <f>'２月'!J22</f>
        <v>7995</v>
      </c>
      <c r="E22" s="116">
        <f>'２月'!K22</f>
        <v>1129460</v>
      </c>
      <c r="F22" s="105">
        <v>7001</v>
      </c>
      <c r="G22" s="104">
        <v>748440</v>
      </c>
      <c r="H22" s="103">
        <v>3451</v>
      </c>
      <c r="I22" s="102">
        <v>397860</v>
      </c>
      <c r="J22" s="101">
        <f t="shared" si="0"/>
        <v>11545</v>
      </c>
      <c r="K22" s="100">
        <f t="shared" si="0"/>
        <v>1480040</v>
      </c>
      <c r="L22" s="99"/>
    </row>
    <row r="23" spans="2:12" s="60" customFormat="1" ht="20.25" customHeight="1">
      <c r="B23" s="61">
        <v>14</v>
      </c>
      <c r="C23" s="62" t="s">
        <v>19</v>
      </c>
      <c r="D23" s="120">
        <f>'２月'!J23</f>
        <v>2658</v>
      </c>
      <c r="E23" s="116">
        <f>'２月'!K23</f>
        <v>1620305</v>
      </c>
      <c r="F23" s="112">
        <v>1658</v>
      </c>
      <c r="G23" s="111">
        <v>1650950</v>
      </c>
      <c r="H23" s="110">
        <v>1466</v>
      </c>
      <c r="I23" s="109">
        <v>1434132</v>
      </c>
      <c r="J23" s="108">
        <f t="shared" si="0"/>
        <v>2850</v>
      </c>
      <c r="K23" s="107">
        <f t="shared" si="0"/>
        <v>1837123</v>
      </c>
      <c r="L23" s="106"/>
    </row>
    <row r="24" spans="2:12" ht="20.25" customHeight="1">
      <c r="B24" s="21">
        <v>15</v>
      </c>
      <c r="C24" s="22" t="s">
        <v>20</v>
      </c>
      <c r="D24" s="120">
        <f>'２月'!J24</f>
        <v>25818</v>
      </c>
      <c r="E24" s="116">
        <f>'２月'!K24</f>
        <v>3567789</v>
      </c>
      <c r="F24" s="105">
        <v>1021</v>
      </c>
      <c r="G24" s="104">
        <v>3165350</v>
      </c>
      <c r="H24" s="103">
        <v>1047</v>
      </c>
      <c r="I24" s="102">
        <v>3215373</v>
      </c>
      <c r="J24" s="101">
        <f t="shared" si="0"/>
        <v>25792</v>
      </c>
      <c r="K24" s="100">
        <f t="shared" si="0"/>
        <v>3517766</v>
      </c>
      <c r="L24" s="99"/>
    </row>
    <row r="25" spans="2:12" ht="20.25" customHeight="1">
      <c r="B25" s="21">
        <v>16</v>
      </c>
      <c r="C25" s="22" t="s">
        <v>21</v>
      </c>
      <c r="D25" s="120">
        <f>'２月'!J25</f>
        <v>8043</v>
      </c>
      <c r="E25" s="116">
        <f>'２月'!K25</f>
        <v>6076625</v>
      </c>
      <c r="F25" s="105">
        <v>5472</v>
      </c>
      <c r="G25" s="104">
        <v>1284903</v>
      </c>
      <c r="H25" s="103">
        <f>4975+23</f>
        <v>4998</v>
      </c>
      <c r="I25" s="102">
        <f>1294817+168688</f>
        <v>1463505</v>
      </c>
      <c r="J25" s="101">
        <f t="shared" si="0"/>
        <v>8517</v>
      </c>
      <c r="K25" s="100">
        <f t="shared" si="0"/>
        <v>5898023</v>
      </c>
      <c r="L25" s="99"/>
    </row>
    <row r="26" spans="2:12" ht="20.25" customHeight="1">
      <c r="B26" s="21">
        <v>17</v>
      </c>
      <c r="C26" s="22" t="s">
        <v>22</v>
      </c>
      <c r="D26" s="120">
        <f>'２月'!J26</f>
        <v>19551</v>
      </c>
      <c r="E26" s="116">
        <f>'２月'!K26</f>
        <v>6565032</v>
      </c>
      <c r="F26" s="105">
        <v>7947</v>
      </c>
      <c r="G26" s="104">
        <v>1604036</v>
      </c>
      <c r="H26" s="103">
        <v>8360</v>
      </c>
      <c r="I26" s="102">
        <v>1710656</v>
      </c>
      <c r="J26" s="101">
        <f t="shared" si="0"/>
        <v>19138</v>
      </c>
      <c r="K26" s="100">
        <f t="shared" si="0"/>
        <v>6458412</v>
      </c>
      <c r="L26" s="99"/>
    </row>
    <row r="27" spans="2:12" ht="20.25" customHeight="1">
      <c r="B27" s="21">
        <v>18</v>
      </c>
      <c r="C27" s="22" t="s">
        <v>51</v>
      </c>
      <c r="D27" s="120">
        <f>'２月'!J27</f>
        <v>2082</v>
      </c>
      <c r="E27" s="116">
        <f>'２月'!K27</f>
        <v>329900</v>
      </c>
      <c r="F27" s="105">
        <v>254</v>
      </c>
      <c r="G27" s="104">
        <v>66550</v>
      </c>
      <c r="H27" s="103">
        <v>268</v>
      </c>
      <c r="I27" s="102">
        <v>70450</v>
      </c>
      <c r="J27" s="101">
        <f t="shared" si="0"/>
        <v>2068</v>
      </c>
      <c r="K27" s="100">
        <f t="shared" si="0"/>
        <v>326000</v>
      </c>
      <c r="L27" s="99"/>
    </row>
    <row r="28" spans="2:12" ht="20.25" customHeight="1">
      <c r="B28" s="21">
        <v>19</v>
      </c>
      <c r="C28" s="22" t="s">
        <v>23</v>
      </c>
      <c r="D28" s="120">
        <f>'２月'!J28</f>
        <v>780</v>
      </c>
      <c r="E28" s="116">
        <f>'２月'!K28</f>
        <v>85800</v>
      </c>
      <c r="F28" s="105">
        <v>1100</v>
      </c>
      <c r="G28" s="104">
        <v>121000</v>
      </c>
      <c r="H28" s="103">
        <v>1180</v>
      </c>
      <c r="I28" s="102">
        <v>129800</v>
      </c>
      <c r="J28" s="101">
        <f t="shared" si="0"/>
        <v>700</v>
      </c>
      <c r="K28" s="100">
        <f t="shared" si="0"/>
        <v>77000</v>
      </c>
      <c r="L28" s="99"/>
    </row>
    <row r="29" spans="2:12" s="60" customFormat="1" ht="20.25" customHeight="1">
      <c r="B29" s="61">
        <v>20</v>
      </c>
      <c r="C29" s="62" t="s">
        <v>24</v>
      </c>
      <c r="D29" s="122">
        <f>'２月'!J29</f>
        <v>1086</v>
      </c>
      <c r="E29" s="123">
        <f>'２月'!K29</f>
        <v>320306</v>
      </c>
      <c r="F29" s="112">
        <f>20+22</f>
        <v>42</v>
      </c>
      <c r="G29" s="111">
        <f>4000+42130</f>
        <v>46130</v>
      </c>
      <c r="H29" s="110">
        <f>20+38</f>
        <v>58</v>
      </c>
      <c r="I29" s="109">
        <f>4000+41897</f>
        <v>45897</v>
      </c>
      <c r="J29" s="108">
        <f t="shared" si="0"/>
        <v>1070</v>
      </c>
      <c r="K29" s="107">
        <f t="shared" si="0"/>
        <v>320539</v>
      </c>
      <c r="L29" s="106"/>
    </row>
    <row r="30" spans="2:12" s="60" customFormat="1" ht="20.25" customHeight="1">
      <c r="B30" s="61">
        <v>21</v>
      </c>
      <c r="C30" s="62" t="s">
        <v>25</v>
      </c>
      <c r="D30" s="122">
        <f>'２月'!J30</f>
        <v>1404</v>
      </c>
      <c r="E30" s="123">
        <f>'２月'!K30</f>
        <v>802216</v>
      </c>
      <c r="F30" s="112">
        <f>301+254</f>
        <v>555</v>
      </c>
      <c r="G30" s="111">
        <f>156300+101795</f>
        <v>258095</v>
      </c>
      <c r="H30" s="110">
        <f>326+220</f>
        <v>546</v>
      </c>
      <c r="I30" s="109">
        <f>163365+36777</f>
        <v>200142</v>
      </c>
      <c r="J30" s="108">
        <f t="shared" si="0"/>
        <v>1413</v>
      </c>
      <c r="K30" s="107">
        <f t="shared" si="0"/>
        <v>860169</v>
      </c>
      <c r="L30" s="106"/>
    </row>
    <row r="31" spans="2:12" s="60" customFormat="1" ht="20.25" customHeight="1">
      <c r="B31" s="61">
        <v>22</v>
      </c>
      <c r="C31" s="62" t="s">
        <v>26</v>
      </c>
      <c r="D31" s="122">
        <f>'２月'!J31</f>
        <v>0</v>
      </c>
      <c r="E31" s="123">
        <f>'２月'!K31</f>
        <v>0</v>
      </c>
      <c r="F31" s="112">
        <v>0</v>
      </c>
      <c r="G31" s="111">
        <v>0</v>
      </c>
      <c r="H31" s="110">
        <v>0</v>
      </c>
      <c r="I31" s="109">
        <v>0</v>
      </c>
      <c r="J31" s="108">
        <f t="shared" si="0"/>
        <v>0</v>
      </c>
      <c r="K31" s="107">
        <f t="shared" si="0"/>
        <v>0</v>
      </c>
      <c r="L31" s="106"/>
    </row>
    <row r="32" spans="2:12" s="60" customFormat="1" ht="20.25" customHeight="1">
      <c r="B32" s="61">
        <v>23</v>
      </c>
      <c r="C32" s="62" t="s">
        <v>27</v>
      </c>
      <c r="D32" s="122">
        <f>'２月'!J32</f>
        <v>33</v>
      </c>
      <c r="E32" s="123">
        <f>'２月'!K32</f>
        <v>48848</v>
      </c>
      <c r="F32" s="112">
        <v>20</v>
      </c>
      <c r="G32" s="111">
        <v>15955</v>
      </c>
      <c r="H32" s="110">
        <v>20</v>
      </c>
      <c r="I32" s="109">
        <v>16174</v>
      </c>
      <c r="J32" s="108">
        <f t="shared" si="0"/>
        <v>33</v>
      </c>
      <c r="K32" s="107">
        <f t="shared" si="0"/>
        <v>48629</v>
      </c>
      <c r="L32" s="106"/>
    </row>
    <row r="33" spans="2:12" s="60" customFormat="1" ht="20.25" customHeight="1">
      <c r="B33" s="61">
        <v>24</v>
      </c>
      <c r="C33" s="62" t="s">
        <v>28</v>
      </c>
      <c r="D33" s="122">
        <f>'２月'!J33</f>
        <v>23625</v>
      </c>
      <c r="E33" s="123">
        <f>'２月'!K33</f>
        <v>7855111</v>
      </c>
      <c r="F33" s="112">
        <v>16152</v>
      </c>
      <c r="G33" s="111">
        <v>4717964</v>
      </c>
      <c r="H33" s="72">
        <v>16255</v>
      </c>
      <c r="I33" s="109">
        <v>4820987</v>
      </c>
      <c r="J33" s="108">
        <f t="shared" si="0"/>
        <v>23522</v>
      </c>
      <c r="K33" s="107">
        <f t="shared" si="0"/>
        <v>7752088</v>
      </c>
      <c r="L33" s="106"/>
    </row>
    <row r="34" spans="2:12" s="60" customFormat="1" ht="32.25" customHeight="1">
      <c r="B34" s="61">
        <v>25</v>
      </c>
      <c r="C34" s="62" t="s">
        <v>29</v>
      </c>
      <c r="D34" s="122">
        <f>'２月'!J34</f>
        <v>91966</v>
      </c>
      <c r="E34" s="123">
        <f>'２月'!K34</f>
        <v>6695510</v>
      </c>
      <c r="F34" s="112">
        <f>34256+292</f>
        <v>34548</v>
      </c>
      <c r="G34" s="111">
        <f>4912545+300500</f>
        <v>5213045</v>
      </c>
      <c r="H34" s="110">
        <f>32001+242</f>
        <v>32243</v>
      </c>
      <c r="I34" s="109">
        <f>4771387+292500</f>
        <v>5063887</v>
      </c>
      <c r="J34" s="108">
        <f t="shared" si="0"/>
        <v>94271</v>
      </c>
      <c r="K34" s="107">
        <f t="shared" si="0"/>
        <v>6844668</v>
      </c>
      <c r="L34" s="106"/>
    </row>
    <row r="35" spans="2:12" s="60" customFormat="1" ht="20.25" customHeight="1">
      <c r="B35" s="61">
        <v>26</v>
      </c>
      <c r="C35" s="62" t="s">
        <v>30</v>
      </c>
      <c r="D35" s="120">
        <f>'２月'!J35</f>
        <v>6293</v>
      </c>
      <c r="E35" s="116">
        <f>'２月'!K35</f>
        <v>3888618</v>
      </c>
      <c r="F35" s="112">
        <v>929</v>
      </c>
      <c r="G35" s="111">
        <v>125207</v>
      </c>
      <c r="H35" s="110">
        <v>1443</v>
      </c>
      <c r="I35" s="109">
        <v>286552</v>
      </c>
      <c r="J35" s="108">
        <f t="shared" si="0"/>
        <v>5779</v>
      </c>
      <c r="K35" s="107">
        <f t="shared" si="0"/>
        <v>3727273</v>
      </c>
      <c r="L35" s="106"/>
    </row>
    <row r="36" spans="2:12" s="60" customFormat="1" ht="20.25" customHeight="1">
      <c r="B36" s="61">
        <v>27</v>
      </c>
      <c r="C36" s="62" t="s">
        <v>31</v>
      </c>
      <c r="D36" s="120">
        <f>'２月'!J36</f>
        <v>347</v>
      </c>
      <c r="E36" s="116">
        <f>'２月'!K36</f>
        <v>65480</v>
      </c>
      <c r="F36" s="112">
        <v>448</v>
      </c>
      <c r="G36" s="111">
        <v>89280</v>
      </c>
      <c r="H36" s="110">
        <v>397</v>
      </c>
      <c r="I36" s="109">
        <v>74360</v>
      </c>
      <c r="J36" s="108">
        <f t="shared" si="0"/>
        <v>398</v>
      </c>
      <c r="K36" s="107">
        <f t="shared" si="0"/>
        <v>80400</v>
      </c>
      <c r="L36" s="106"/>
    </row>
    <row r="37" spans="2:12" s="60" customFormat="1" ht="20.25" customHeight="1">
      <c r="B37" s="61">
        <v>28</v>
      </c>
      <c r="C37" s="62" t="s">
        <v>33</v>
      </c>
      <c r="D37" s="120">
        <f>'２月'!J37</f>
        <v>0</v>
      </c>
      <c r="E37" s="116">
        <f>'２月'!K37</f>
        <v>0</v>
      </c>
      <c r="F37" s="112">
        <v>0</v>
      </c>
      <c r="G37" s="111">
        <v>0</v>
      </c>
      <c r="H37" s="110">
        <v>0</v>
      </c>
      <c r="I37" s="109">
        <v>0</v>
      </c>
      <c r="J37" s="108">
        <f t="shared" si="0"/>
        <v>0</v>
      </c>
      <c r="K37" s="107">
        <f t="shared" si="0"/>
        <v>0</v>
      </c>
      <c r="L37" s="106"/>
    </row>
    <row r="38" spans="2:12" s="60" customFormat="1" ht="20.25" customHeight="1">
      <c r="B38" s="61">
        <v>29</v>
      </c>
      <c r="C38" s="62" t="s">
        <v>32</v>
      </c>
      <c r="D38" s="120">
        <f>'２月'!J38</f>
        <v>0</v>
      </c>
      <c r="E38" s="116">
        <f>'２月'!K38</f>
        <v>0</v>
      </c>
      <c r="F38" s="112">
        <v>51</v>
      </c>
      <c r="G38" s="111">
        <v>12160</v>
      </c>
      <c r="H38" s="110">
        <v>0</v>
      </c>
      <c r="I38" s="109">
        <v>0</v>
      </c>
      <c r="J38" s="108">
        <f t="shared" si="0"/>
        <v>51</v>
      </c>
      <c r="K38" s="107">
        <f t="shared" si="0"/>
        <v>12160</v>
      </c>
      <c r="L38" s="106"/>
    </row>
    <row r="39" spans="2:12" s="60" customFormat="1" ht="20.25" customHeight="1">
      <c r="B39" s="61">
        <v>30</v>
      </c>
      <c r="C39" s="62" t="s">
        <v>34</v>
      </c>
      <c r="D39" s="120">
        <f>'２月'!J39</f>
        <v>1204</v>
      </c>
      <c r="E39" s="116">
        <f>'２月'!K39</f>
        <v>1324400</v>
      </c>
      <c r="F39" s="112">
        <v>120</v>
      </c>
      <c r="G39" s="111">
        <v>132000</v>
      </c>
      <c r="H39" s="110">
        <v>140</v>
      </c>
      <c r="I39" s="109">
        <v>154000</v>
      </c>
      <c r="J39" s="108">
        <f t="shared" si="0"/>
        <v>1184</v>
      </c>
      <c r="K39" s="107">
        <f t="shared" si="0"/>
        <v>1302400</v>
      </c>
      <c r="L39" s="106"/>
    </row>
    <row r="40" spans="2:12" s="60" customFormat="1" ht="20.25" customHeight="1">
      <c r="B40" s="61">
        <v>31</v>
      </c>
      <c r="C40" s="62" t="s">
        <v>35</v>
      </c>
      <c r="D40" s="120">
        <f>'２月'!J40</f>
        <v>0</v>
      </c>
      <c r="E40" s="116">
        <f>'２月'!K40</f>
        <v>0</v>
      </c>
      <c r="F40" s="112">
        <v>0</v>
      </c>
      <c r="G40" s="111">
        <v>0</v>
      </c>
      <c r="H40" s="110">
        <v>0</v>
      </c>
      <c r="I40" s="109">
        <v>0</v>
      </c>
      <c r="J40" s="108">
        <f t="shared" si="0"/>
        <v>0</v>
      </c>
      <c r="K40" s="107">
        <f t="shared" si="0"/>
        <v>0</v>
      </c>
      <c r="L40" s="106"/>
    </row>
    <row r="41" spans="2:12" s="60" customFormat="1" ht="20.25" customHeight="1">
      <c r="B41" s="61">
        <v>32</v>
      </c>
      <c r="C41" s="62" t="s">
        <v>36</v>
      </c>
      <c r="D41" s="120">
        <f>'２月'!J41</f>
        <v>0</v>
      </c>
      <c r="E41" s="116">
        <f>'２月'!K41</f>
        <v>0</v>
      </c>
      <c r="F41" s="112">
        <v>0</v>
      </c>
      <c r="G41" s="111">
        <v>0</v>
      </c>
      <c r="H41" s="110">
        <v>0</v>
      </c>
      <c r="I41" s="109">
        <v>0</v>
      </c>
      <c r="J41" s="108">
        <f t="shared" si="0"/>
        <v>0</v>
      </c>
      <c r="K41" s="107">
        <f t="shared" si="0"/>
        <v>0</v>
      </c>
      <c r="L41" s="106"/>
    </row>
    <row r="42" spans="2:12" s="60" customFormat="1" ht="20.25" customHeight="1">
      <c r="B42" s="61">
        <v>33</v>
      </c>
      <c r="C42" s="62" t="s">
        <v>37</v>
      </c>
      <c r="D42" s="120">
        <f>'２月'!J42</f>
        <v>29122</v>
      </c>
      <c r="E42" s="116">
        <f>'２月'!K42</f>
        <v>2954918</v>
      </c>
      <c r="F42" s="112">
        <v>21177</v>
      </c>
      <c r="G42" s="111">
        <v>6034946</v>
      </c>
      <c r="H42" s="110">
        <v>23408</v>
      </c>
      <c r="I42" s="109">
        <v>6495127</v>
      </c>
      <c r="J42" s="108">
        <f t="shared" si="0"/>
        <v>26891</v>
      </c>
      <c r="K42" s="107">
        <f t="shared" si="0"/>
        <v>2494737</v>
      </c>
      <c r="L42" s="106"/>
    </row>
    <row r="43" spans="2:12" s="60" customFormat="1" ht="33" customHeight="1">
      <c r="B43" s="61">
        <v>34</v>
      </c>
      <c r="C43" s="62" t="s">
        <v>38</v>
      </c>
      <c r="D43" s="120">
        <f>'２月'!J43</f>
        <v>7907</v>
      </c>
      <c r="E43" s="116">
        <f>'２月'!K43</f>
        <v>10871321</v>
      </c>
      <c r="F43" s="112">
        <v>10437</v>
      </c>
      <c r="G43" s="111">
        <v>13623192</v>
      </c>
      <c r="H43" s="110">
        <v>10333</v>
      </c>
      <c r="I43" s="109">
        <v>13643661</v>
      </c>
      <c r="J43" s="108">
        <f t="shared" si="0"/>
        <v>8011</v>
      </c>
      <c r="K43" s="107">
        <f t="shared" si="0"/>
        <v>10850852</v>
      </c>
      <c r="L43" s="106"/>
    </row>
    <row r="44" spans="2:12" s="60" customFormat="1" ht="20.25" customHeight="1">
      <c r="B44" s="61">
        <v>35</v>
      </c>
      <c r="C44" s="62" t="s">
        <v>39</v>
      </c>
      <c r="D44" s="120">
        <f>'２月'!J44</f>
        <v>19</v>
      </c>
      <c r="E44" s="116">
        <f>'２月'!K44</f>
        <v>113640</v>
      </c>
      <c r="F44" s="112">
        <v>13</v>
      </c>
      <c r="G44" s="111">
        <v>18090</v>
      </c>
      <c r="H44" s="110">
        <v>7</v>
      </c>
      <c r="I44" s="109">
        <v>9090</v>
      </c>
      <c r="J44" s="108">
        <f t="shared" si="0"/>
        <v>25</v>
      </c>
      <c r="K44" s="107">
        <f t="shared" si="0"/>
        <v>122640</v>
      </c>
      <c r="L44" s="106"/>
    </row>
    <row r="45" spans="2:12" s="60" customFormat="1" ht="20.25" customHeight="1">
      <c r="B45" s="61">
        <v>36</v>
      </c>
      <c r="C45" s="62" t="s">
        <v>40</v>
      </c>
      <c r="D45" s="120">
        <f>'２月'!J45</f>
        <v>4754</v>
      </c>
      <c r="E45" s="116">
        <f>'２月'!K45</f>
        <v>3692789</v>
      </c>
      <c r="F45" s="112">
        <v>6249</v>
      </c>
      <c r="G45" s="111">
        <v>3007844</v>
      </c>
      <c r="H45" s="110">
        <v>4526</v>
      </c>
      <c r="I45" s="109">
        <v>3417234</v>
      </c>
      <c r="J45" s="108">
        <f t="shared" si="0"/>
        <v>6477</v>
      </c>
      <c r="K45" s="107">
        <f t="shared" si="0"/>
        <v>3283399</v>
      </c>
      <c r="L45" s="106"/>
    </row>
    <row r="46" spans="2:12" ht="20.25" customHeight="1">
      <c r="B46" s="21">
        <v>37</v>
      </c>
      <c r="C46" s="22" t="s">
        <v>41</v>
      </c>
      <c r="D46" s="120">
        <f>'２月'!J46</f>
        <v>3176</v>
      </c>
      <c r="E46" s="116">
        <f>'２月'!K46</f>
        <v>2041400</v>
      </c>
      <c r="F46" s="105">
        <v>11952</v>
      </c>
      <c r="G46" s="104">
        <v>972466</v>
      </c>
      <c r="H46" s="103">
        <v>4340</v>
      </c>
      <c r="I46" s="102">
        <v>834052</v>
      </c>
      <c r="J46" s="101">
        <f t="shared" si="0"/>
        <v>10788</v>
      </c>
      <c r="K46" s="100">
        <f t="shared" si="0"/>
        <v>2179814</v>
      </c>
      <c r="L46" s="99"/>
    </row>
    <row r="47" spans="2:12" ht="32.25" customHeight="1">
      <c r="B47" s="21">
        <v>38</v>
      </c>
      <c r="C47" s="22" t="s">
        <v>42</v>
      </c>
      <c r="D47" s="122">
        <f>'２月'!J47</f>
        <v>2843</v>
      </c>
      <c r="E47" s="123">
        <f>'２月'!K47</f>
        <v>1900442</v>
      </c>
      <c r="F47" s="112">
        <v>855</v>
      </c>
      <c r="G47" s="111">
        <v>447591</v>
      </c>
      <c r="H47" s="110">
        <v>746</v>
      </c>
      <c r="I47" s="109">
        <v>534578</v>
      </c>
      <c r="J47" s="108">
        <f t="shared" si="0"/>
        <v>2952</v>
      </c>
      <c r="K47" s="107">
        <f t="shared" si="0"/>
        <v>1813455</v>
      </c>
      <c r="L47" s="99"/>
    </row>
    <row r="48" spans="2:12" ht="20.25" customHeight="1">
      <c r="B48" s="21">
        <v>39</v>
      </c>
      <c r="C48" s="22" t="s">
        <v>43</v>
      </c>
      <c r="D48" s="122">
        <f>'２月'!J48</f>
        <v>0</v>
      </c>
      <c r="E48" s="123">
        <f>'２月'!K48</f>
        <v>0</v>
      </c>
      <c r="F48" s="112">
        <v>0</v>
      </c>
      <c r="G48" s="111">
        <v>0</v>
      </c>
      <c r="H48" s="110">
        <v>0</v>
      </c>
      <c r="I48" s="109">
        <v>0</v>
      </c>
      <c r="J48" s="108">
        <f t="shared" si="0"/>
        <v>0</v>
      </c>
      <c r="K48" s="107">
        <f t="shared" si="0"/>
        <v>0</v>
      </c>
      <c r="L48" s="99"/>
    </row>
    <row r="49" spans="2:12" ht="20.25" customHeight="1" thickBot="1">
      <c r="B49" s="23">
        <v>40</v>
      </c>
      <c r="C49" s="24" t="s">
        <v>50</v>
      </c>
      <c r="D49" s="122">
        <f>'２月'!J49</f>
        <v>6709</v>
      </c>
      <c r="E49" s="123">
        <f>'２月'!K49</f>
        <v>2282396</v>
      </c>
      <c r="F49" s="124">
        <v>7797</v>
      </c>
      <c r="G49" s="125">
        <v>2689591</v>
      </c>
      <c r="H49" s="126">
        <v>7234</v>
      </c>
      <c r="I49" s="127">
        <v>2628572</v>
      </c>
      <c r="J49" s="128">
        <f t="shared" si="0"/>
        <v>7272</v>
      </c>
      <c r="K49" s="129">
        <f t="shared" si="0"/>
        <v>2343415</v>
      </c>
      <c r="L49" s="92"/>
    </row>
    <row r="50" spans="2:12" ht="21" customHeight="1" thickBot="1" thickTop="1">
      <c r="B50" s="140" t="s">
        <v>46</v>
      </c>
      <c r="C50" s="141"/>
      <c r="D50" s="130">
        <f aca="true" t="shared" si="1" ref="D50:I50">SUM(D10:D49)</f>
        <v>280932</v>
      </c>
      <c r="E50" s="131">
        <f t="shared" si="1"/>
        <v>72594542</v>
      </c>
      <c r="F50" s="132">
        <f t="shared" si="1"/>
        <v>136752</v>
      </c>
      <c r="G50" s="133">
        <f t="shared" si="1"/>
        <v>46138199</v>
      </c>
      <c r="H50" s="132">
        <f t="shared" si="1"/>
        <v>124074</v>
      </c>
      <c r="I50" s="133">
        <f t="shared" si="1"/>
        <v>46921517</v>
      </c>
      <c r="J50" s="134">
        <f t="shared" si="0"/>
        <v>293610</v>
      </c>
      <c r="K50" s="133">
        <f t="shared" si="0"/>
        <v>71811224</v>
      </c>
      <c r="L50" s="86"/>
    </row>
    <row r="51" spans="10:11" ht="13.5">
      <c r="J51" s="85"/>
      <c r="K51" s="85"/>
    </row>
    <row r="52" spans="10:11" ht="13.5">
      <c r="J52" s="84"/>
      <c r="K52" s="84"/>
    </row>
    <row r="53" spans="10:11" ht="13.5">
      <c r="J53" s="77"/>
      <c r="K53" s="77"/>
    </row>
    <row r="55" spans="4:11" ht="13.5">
      <c r="D55" s="75"/>
      <c r="E55" s="75"/>
      <c r="F55" s="75"/>
      <c r="G55" s="75"/>
      <c r="H55" s="75"/>
      <c r="I55" s="75"/>
      <c r="J55" s="82"/>
      <c r="K55" s="82"/>
    </row>
    <row r="56" spans="4:11" ht="13.5">
      <c r="D56" s="75"/>
      <c r="E56" s="75"/>
      <c r="F56" s="75"/>
      <c r="G56" s="75"/>
      <c r="H56" s="75"/>
      <c r="I56" s="75"/>
      <c r="J56" s="82"/>
      <c r="K56" s="82"/>
    </row>
    <row r="57" spans="4:11" ht="13.5">
      <c r="D57" s="80"/>
      <c r="E57" s="80"/>
      <c r="F57" s="80"/>
      <c r="G57" s="80"/>
      <c r="H57" s="80"/>
      <c r="I57" s="80"/>
      <c r="J57" s="80"/>
      <c r="K57" s="80"/>
    </row>
    <row r="58" spans="4:11" ht="13.5">
      <c r="D58" s="80"/>
      <c r="E58" s="80"/>
      <c r="F58" s="80"/>
      <c r="G58" s="80"/>
      <c r="H58" s="80"/>
      <c r="I58" s="80"/>
      <c r="J58" s="80"/>
      <c r="K58" s="80"/>
    </row>
    <row r="59" spans="4:11" ht="13.5">
      <c r="D59" s="80"/>
      <c r="E59" s="80"/>
      <c r="F59" s="80"/>
      <c r="G59" s="80"/>
      <c r="H59" s="80"/>
      <c r="I59" s="80"/>
      <c r="J59" s="83"/>
      <c r="K59" s="83"/>
    </row>
    <row r="60" spans="4:11" ht="13.5">
      <c r="D60" s="80"/>
      <c r="E60" s="80"/>
      <c r="F60" s="80"/>
      <c r="G60" s="80"/>
      <c r="H60" s="80"/>
      <c r="I60" s="80"/>
      <c r="J60" s="83"/>
      <c r="K60" s="83"/>
    </row>
    <row r="61" spans="4:11" ht="13.5">
      <c r="D61" s="80"/>
      <c r="E61" s="80"/>
      <c r="F61" s="80"/>
      <c r="G61" s="80"/>
      <c r="H61" s="80"/>
      <c r="I61" s="80"/>
      <c r="J61" s="80"/>
      <c r="K61" s="80"/>
    </row>
    <row r="62" spans="4:11" ht="13.5">
      <c r="D62" s="75"/>
      <c r="E62" s="75"/>
      <c r="F62" s="75"/>
      <c r="G62" s="75"/>
      <c r="H62" s="75"/>
      <c r="I62" s="75"/>
      <c r="J62" s="75"/>
      <c r="K62" s="75"/>
    </row>
    <row r="63" spans="4:11" ht="13.5">
      <c r="D63" s="75"/>
      <c r="E63" s="75"/>
      <c r="F63" s="75"/>
      <c r="G63" s="75"/>
      <c r="H63" s="75"/>
      <c r="I63" s="75"/>
      <c r="J63" s="82"/>
      <c r="K63" s="82"/>
    </row>
    <row r="64" spans="4:11" ht="13.5">
      <c r="D64" s="75"/>
      <c r="E64" s="75"/>
      <c r="F64" s="75"/>
      <c r="G64" s="75"/>
      <c r="H64" s="75"/>
      <c r="I64" s="75"/>
      <c r="J64" s="82"/>
      <c r="K64" s="82"/>
    </row>
    <row r="65" spans="4:11" ht="13.5">
      <c r="D65" s="75"/>
      <c r="E65" s="75"/>
      <c r="F65" s="75"/>
      <c r="G65" s="75"/>
      <c r="H65" s="75"/>
      <c r="I65" s="75"/>
      <c r="J65" s="75"/>
      <c r="K65" s="75"/>
    </row>
  </sheetData>
  <sheetProtection/>
  <mergeCells count="9">
    <mergeCell ref="B50:C50"/>
    <mergeCell ref="B2:L2"/>
    <mergeCell ref="J4:L4"/>
    <mergeCell ref="J5:L5"/>
    <mergeCell ref="D7:E7"/>
    <mergeCell ref="F7:G7"/>
    <mergeCell ref="H7:I7"/>
    <mergeCell ref="J7:K7"/>
    <mergeCell ref="L7:L9"/>
  </mergeCells>
  <printOptions horizontalCentered="1"/>
  <pageMargins left="0.3937007874015748" right="0.3937007874015748" top="0.5905511811023623" bottom="0.3937007874015748" header="0" footer="0"/>
  <pageSetup fitToHeight="1" fitToWidth="1" horizontalDpi="300" verticalDpi="300" orientation="portrait" paperSize="9" scale="8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65"/>
  <sheetViews>
    <sheetView zoomScalePageLayoutView="0" workbookViewId="0" topLeftCell="A1">
      <pane xSplit="5" ySplit="9" topLeftCell="F22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J34" sqref="J34"/>
    </sheetView>
  </sheetViews>
  <sheetFormatPr defaultColWidth="9.00390625" defaultRowHeight="13.5"/>
  <cols>
    <col min="1" max="1" width="4.375" style="1" customWidth="1"/>
    <col min="2" max="2" width="3.375" style="1" customWidth="1"/>
    <col min="3" max="3" width="15.125" style="1" customWidth="1"/>
    <col min="4" max="4" width="10.00390625" style="1" customWidth="1"/>
    <col min="5" max="5" width="11.25390625" style="1" customWidth="1"/>
    <col min="6" max="6" width="10.00390625" style="1" customWidth="1"/>
    <col min="7" max="7" width="11.25390625" style="1" customWidth="1"/>
    <col min="8" max="8" width="10.00390625" style="1" customWidth="1"/>
    <col min="9" max="9" width="11.25390625" style="1" customWidth="1"/>
    <col min="10" max="10" width="10.00390625" style="1" customWidth="1"/>
    <col min="11" max="11" width="11.25390625" style="1" customWidth="1"/>
    <col min="12" max="12" width="9.375" style="1" customWidth="1"/>
    <col min="13" max="13" width="4.00390625" style="1" customWidth="1"/>
    <col min="14" max="16384" width="9.00390625" style="1" customWidth="1"/>
  </cols>
  <sheetData>
    <row r="2" spans="2:12" ht="18.75" customHeight="1">
      <c r="B2" s="142" t="s">
        <v>47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2:12" ht="15" customHeight="1">
      <c r="B3" s="28" t="str">
        <f>'１月'!$B$3</f>
        <v>平成２８年</v>
      </c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2:12" ht="18" customHeight="1">
      <c r="B4" s="27"/>
      <c r="C4" s="54" t="s">
        <v>65</v>
      </c>
      <c r="E4" s="28" t="s">
        <v>54</v>
      </c>
      <c r="I4" s="121" t="s">
        <v>52</v>
      </c>
      <c r="J4" s="152" t="s">
        <v>57</v>
      </c>
      <c r="K4" s="152"/>
      <c r="L4" s="152"/>
    </row>
    <row r="5" spans="3:12" ht="18" customHeight="1">
      <c r="C5" s="1" t="s">
        <v>59</v>
      </c>
      <c r="I5" s="2" t="s">
        <v>53</v>
      </c>
      <c r="J5" s="148"/>
      <c r="K5" s="148"/>
      <c r="L5" s="148"/>
    </row>
    <row r="6" spans="5:12" ht="18" customHeight="1" thickBot="1">
      <c r="E6" s="1" t="s">
        <v>58</v>
      </c>
      <c r="I6" s="2"/>
      <c r="J6" s="55"/>
      <c r="K6" s="55"/>
      <c r="L6" s="55"/>
    </row>
    <row r="7" spans="2:12" ht="18.75" customHeight="1">
      <c r="B7" s="3"/>
      <c r="C7" s="4" t="s">
        <v>48</v>
      </c>
      <c r="D7" s="143" t="s">
        <v>0</v>
      </c>
      <c r="E7" s="144"/>
      <c r="F7" s="145" t="s">
        <v>1</v>
      </c>
      <c r="G7" s="146"/>
      <c r="H7" s="144" t="s">
        <v>2</v>
      </c>
      <c r="I7" s="144"/>
      <c r="J7" s="145" t="s">
        <v>3</v>
      </c>
      <c r="K7" s="146"/>
      <c r="L7" s="149" t="s">
        <v>4</v>
      </c>
    </row>
    <row r="8" spans="2:12" ht="18.75" customHeight="1">
      <c r="B8" s="5"/>
      <c r="C8" s="6"/>
      <c r="D8" s="7" t="s">
        <v>44</v>
      </c>
      <c r="E8" s="8" t="s">
        <v>45</v>
      </c>
      <c r="F8" s="9" t="s">
        <v>44</v>
      </c>
      <c r="G8" s="10" t="s">
        <v>45</v>
      </c>
      <c r="H8" s="11" t="s">
        <v>44</v>
      </c>
      <c r="I8" s="8" t="s">
        <v>45</v>
      </c>
      <c r="J8" s="9" t="s">
        <v>44</v>
      </c>
      <c r="K8" s="10" t="s">
        <v>45</v>
      </c>
      <c r="L8" s="150"/>
    </row>
    <row r="9" spans="2:12" ht="18.75" customHeight="1" thickBot="1">
      <c r="B9" s="12" t="s">
        <v>49</v>
      </c>
      <c r="C9" s="13"/>
      <c r="D9" s="14" t="s">
        <v>55</v>
      </c>
      <c r="E9" s="15" t="s">
        <v>5</v>
      </c>
      <c r="F9" s="16" t="s">
        <v>55</v>
      </c>
      <c r="G9" s="17" t="s">
        <v>5</v>
      </c>
      <c r="H9" s="18" t="s">
        <v>55</v>
      </c>
      <c r="I9" s="15" t="s">
        <v>5</v>
      </c>
      <c r="J9" s="16" t="s">
        <v>55</v>
      </c>
      <c r="K9" s="17" t="s">
        <v>5</v>
      </c>
      <c r="L9" s="151"/>
    </row>
    <row r="10" spans="2:14" ht="20.25" customHeight="1" thickTop="1">
      <c r="B10" s="19">
        <v>1</v>
      </c>
      <c r="C10" s="20" t="s">
        <v>6</v>
      </c>
      <c r="D10" s="120">
        <f>'３月'!J10</f>
        <v>31748</v>
      </c>
      <c r="E10" s="116">
        <f>'３月'!K10</f>
        <v>8020732</v>
      </c>
      <c r="F10" s="119">
        <v>3639</v>
      </c>
      <c r="G10" s="118">
        <v>756910</v>
      </c>
      <c r="H10" s="117">
        <v>4503</v>
      </c>
      <c r="I10" s="116">
        <v>795962</v>
      </c>
      <c r="J10" s="115">
        <f aca="true" t="shared" si="0" ref="J10:K50">D10+F10-H10</f>
        <v>30884</v>
      </c>
      <c r="K10" s="114">
        <f t="shared" si="0"/>
        <v>7981680</v>
      </c>
      <c r="L10" s="113"/>
      <c r="N10" s="60"/>
    </row>
    <row r="11" spans="2:12" ht="20.25" customHeight="1">
      <c r="B11" s="21">
        <v>2</v>
      </c>
      <c r="C11" s="22" t="s">
        <v>7</v>
      </c>
      <c r="D11" s="120">
        <f>'３月'!J11</f>
        <v>0</v>
      </c>
      <c r="E11" s="116">
        <f>'３月'!K11</f>
        <v>216</v>
      </c>
      <c r="F11" s="105">
        <v>0</v>
      </c>
      <c r="G11" s="104">
        <v>0</v>
      </c>
      <c r="H11" s="103">
        <v>0</v>
      </c>
      <c r="I11" s="102">
        <v>0</v>
      </c>
      <c r="J11" s="101">
        <f t="shared" si="0"/>
        <v>0</v>
      </c>
      <c r="K11" s="100">
        <f t="shared" si="0"/>
        <v>216</v>
      </c>
      <c r="L11" s="99"/>
    </row>
    <row r="12" spans="2:12" ht="20.25" customHeight="1">
      <c r="B12" s="21">
        <v>3</v>
      </c>
      <c r="C12" s="22" t="s">
        <v>8</v>
      </c>
      <c r="D12" s="120">
        <f>'３月'!J12</f>
        <v>0</v>
      </c>
      <c r="E12" s="116">
        <f>'３月'!K12</f>
        <v>0</v>
      </c>
      <c r="F12" s="105">
        <v>0</v>
      </c>
      <c r="G12" s="104">
        <v>0</v>
      </c>
      <c r="H12" s="103">
        <v>0</v>
      </c>
      <c r="I12" s="102">
        <v>0</v>
      </c>
      <c r="J12" s="101">
        <f t="shared" si="0"/>
        <v>0</v>
      </c>
      <c r="K12" s="100">
        <f t="shared" si="0"/>
        <v>0</v>
      </c>
      <c r="L12" s="99"/>
    </row>
    <row r="13" spans="2:12" ht="20.25" customHeight="1">
      <c r="B13" s="21">
        <v>4</v>
      </c>
      <c r="C13" s="22" t="s">
        <v>9</v>
      </c>
      <c r="D13" s="120">
        <f>'３月'!J13</f>
        <v>1037</v>
      </c>
      <c r="E13" s="116">
        <f>'３月'!K13</f>
        <v>147690</v>
      </c>
      <c r="F13" s="105">
        <v>193</v>
      </c>
      <c r="G13" s="104">
        <v>32080</v>
      </c>
      <c r="H13" s="103">
        <v>629</v>
      </c>
      <c r="I13" s="102">
        <v>86624</v>
      </c>
      <c r="J13" s="101">
        <f t="shared" si="0"/>
        <v>601</v>
      </c>
      <c r="K13" s="100">
        <f t="shared" si="0"/>
        <v>93146</v>
      </c>
      <c r="L13" s="99"/>
    </row>
    <row r="14" spans="2:12" ht="20.25" customHeight="1">
      <c r="B14" s="21">
        <v>5</v>
      </c>
      <c r="C14" s="22" t="s">
        <v>10</v>
      </c>
      <c r="D14" s="120">
        <f>'３月'!J14</f>
        <v>0</v>
      </c>
      <c r="E14" s="116">
        <f>'３月'!K14</f>
        <v>0</v>
      </c>
      <c r="F14" s="105">
        <v>0</v>
      </c>
      <c r="G14" s="104">
        <v>0</v>
      </c>
      <c r="H14" s="103">
        <v>0</v>
      </c>
      <c r="I14" s="102">
        <v>0</v>
      </c>
      <c r="J14" s="101">
        <f t="shared" si="0"/>
        <v>0</v>
      </c>
      <c r="K14" s="100">
        <f t="shared" si="0"/>
        <v>0</v>
      </c>
      <c r="L14" s="99"/>
    </row>
    <row r="15" spans="2:12" ht="20.25" customHeight="1">
      <c r="B15" s="21">
        <v>6</v>
      </c>
      <c r="C15" s="22" t="s">
        <v>11</v>
      </c>
      <c r="D15" s="120">
        <f>'３月'!J15</f>
        <v>0</v>
      </c>
      <c r="E15" s="116">
        <f>'３月'!K15</f>
        <v>0</v>
      </c>
      <c r="F15" s="105">
        <v>0</v>
      </c>
      <c r="G15" s="104">
        <v>0</v>
      </c>
      <c r="H15" s="103">
        <v>0</v>
      </c>
      <c r="I15" s="102">
        <v>0</v>
      </c>
      <c r="J15" s="101">
        <f t="shared" si="0"/>
        <v>0</v>
      </c>
      <c r="K15" s="100">
        <f t="shared" si="0"/>
        <v>0</v>
      </c>
      <c r="L15" s="99"/>
    </row>
    <row r="16" spans="2:12" ht="20.25" customHeight="1">
      <c r="B16" s="21">
        <v>7</v>
      </c>
      <c r="C16" s="22" t="s">
        <v>12</v>
      </c>
      <c r="D16" s="120">
        <f>'３月'!J16</f>
        <v>0</v>
      </c>
      <c r="E16" s="116">
        <f>'３月'!K16</f>
        <v>0</v>
      </c>
      <c r="F16" s="105">
        <v>0</v>
      </c>
      <c r="G16" s="104">
        <v>0</v>
      </c>
      <c r="H16" s="103">
        <v>0</v>
      </c>
      <c r="I16" s="102">
        <v>0</v>
      </c>
      <c r="J16" s="101">
        <f t="shared" si="0"/>
        <v>0</v>
      </c>
      <c r="K16" s="100">
        <f t="shared" si="0"/>
        <v>0</v>
      </c>
      <c r="L16" s="99"/>
    </row>
    <row r="17" spans="2:12" ht="20.25" customHeight="1">
      <c r="B17" s="21">
        <v>8</v>
      </c>
      <c r="C17" s="22" t="s">
        <v>13</v>
      </c>
      <c r="D17" s="120">
        <f>'３月'!J17</f>
        <v>0</v>
      </c>
      <c r="E17" s="116">
        <f>'３月'!K17</f>
        <v>0</v>
      </c>
      <c r="F17" s="105">
        <v>0</v>
      </c>
      <c r="G17" s="104">
        <v>0</v>
      </c>
      <c r="H17" s="103">
        <v>0</v>
      </c>
      <c r="I17" s="102">
        <v>0</v>
      </c>
      <c r="J17" s="101">
        <f t="shared" si="0"/>
        <v>0</v>
      </c>
      <c r="K17" s="100">
        <f t="shared" si="0"/>
        <v>0</v>
      </c>
      <c r="L17" s="99"/>
    </row>
    <row r="18" spans="2:12" ht="20.25" customHeight="1">
      <c r="B18" s="21">
        <v>9</v>
      </c>
      <c r="C18" s="22" t="s">
        <v>14</v>
      </c>
      <c r="D18" s="120">
        <f>'３月'!J18</f>
        <v>64</v>
      </c>
      <c r="E18" s="116">
        <f>'３月'!K18</f>
        <v>10915</v>
      </c>
      <c r="F18" s="105">
        <v>72</v>
      </c>
      <c r="G18" s="104">
        <v>6840</v>
      </c>
      <c r="H18" s="103">
        <v>72</v>
      </c>
      <c r="I18" s="102">
        <v>7720</v>
      </c>
      <c r="J18" s="101">
        <f t="shared" si="0"/>
        <v>64</v>
      </c>
      <c r="K18" s="100">
        <f t="shared" si="0"/>
        <v>10035</v>
      </c>
      <c r="L18" s="99"/>
    </row>
    <row r="19" spans="2:12" ht="20.25" customHeight="1">
      <c r="B19" s="21">
        <v>10</v>
      </c>
      <c r="C19" s="22" t="s">
        <v>15</v>
      </c>
      <c r="D19" s="120">
        <f>'３月'!J19</f>
        <v>0</v>
      </c>
      <c r="E19" s="116">
        <f>'３月'!K19</f>
        <v>0</v>
      </c>
      <c r="F19" s="105">
        <v>0</v>
      </c>
      <c r="G19" s="104">
        <v>0</v>
      </c>
      <c r="H19" s="103">
        <v>0</v>
      </c>
      <c r="I19" s="102">
        <v>0</v>
      </c>
      <c r="J19" s="101">
        <f t="shared" si="0"/>
        <v>0</v>
      </c>
      <c r="K19" s="100">
        <f t="shared" si="0"/>
        <v>0</v>
      </c>
      <c r="L19" s="99"/>
    </row>
    <row r="20" spans="2:12" ht="20.25" customHeight="1">
      <c r="B20" s="21">
        <v>11</v>
      </c>
      <c r="C20" s="22" t="s">
        <v>16</v>
      </c>
      <c r="D20" s="120">
        <f>'３月'!J20</f>
        <v>14</v>
      </c>
      <c r="E20" s="116">
        <f>'３月'!K20</f>
        <v>669</v>
      </c>
      <c r="F20" s="105">
        <v>17</v>
      </c>
      <c r="G20" s="104">
        <v>819</v>
      </c>
      <c r="H20" s="103">
        <v>20</v>
      </c>
      <c r="I20" s="102">
        <v>984</v>
      </c>
      <c r="J20" s="101">
        <f t="shared" si="0"/>
        <v>11</v>
      </c>
      <c r="K20" s="100">
        <f t="shared" si="0"/>
        <v>504</v>
      </c>
      <c r="L20" s="99"/>
    </row>
    <row r="21" spans="2:12" ht="20.25" customHeight="1">
      <c r="B21" s="21">
        <v>12</v>
      </c>
      <c r="C21" s="22" t="s">
        <v>17</v>
      </c>
      <c r="D21" s="120">
        <f>'３月'!J21</f>
        <v>0</v>
      </c>
      <c r="E21" s="116">
        <f>'３月'!K21</f>
        <v>0</v>
      </c>
      <c r="F21" s="105">
        <v>0</v>
      </c>
      <c r="G21" s="104">
        <v>0</v>
      </c>
      <c r="H21" s="103">
        <v>0</v>
      </c>
      <c r="I21" s="102">
        <v>0</v>
      </c>
      <c r="J21" s="101">
        <f t="shared" si="0"/>
        <v>0</v>
      </c>
      <c r="K21" s="100">
        <f t="shared" si="0"/>
        <v>0</v>
      </c>
      <c r="L21" s="99"/>
    </row>
    <row r="22" spans="2:12" ht="20.25" customHeight="1">
      <c r="B22" s="21">
        <v>13</v>
      </c>
      <c r="C22" s="22" t="s">
        <v>18</v>
      </c>
      <c r="D22" s="120">
        <f>'３月'!J22</f>
        <v>11545</v>
      </c>
      <c r="E22" s="116">
        <f>'３月'!K22</f>
        <v>1480040</v>
      </c>
      <c r="F22" s="105">
        <v>4451</v>
      </c>
      <c r="G22" s="104">
        <v>527620</v>
      </c>
      <c r="H22" s="103">
        <v>5447</v>
      </c>
      <c r="I22" s="102">
        <v>620420</v>
      </c>
      <c r="J22" s="101">
        <f t="shared" si="0"/>
        <v>10549</v>
      </c>
      <c r="K22" s="100">
        <f t="shared" si="0"/>
        <v>1387240</v>
      </c>
      <c r="L22" s="99"/>
    </row>
    <row r="23" spans="2:12" s="60" customFormat="1" ht="20.25" customHeight="1">
      <c r="B23" s="61">
        <v>14</v>
      </c>
      <c r="C23" s="62" t="s">
        <v>19</v>
      </c>
      <c r="D23" s="120">
        <f>'３月'!J23</f>
        <v>2850</v>
      </c>
      <c r="E23" s="116">
        <f>'３月'!K23</f>
        <v>1837123</v>
      </c>
      <c r="F23" s="112">
        <v>1635</v>
      </c>
      <c r="G23" s="111">
        <v>1986100</v>
      </c>
      <c r="H23" s="110">
        <v>1528</v>
      </c>
      <c r="I23" s="109">
        <v>1557469</v>
      </c>
      <c r="J23" s="108">
        <f t="shared" si="0"/>
        <v>2957</v>
      </c>
      <c r="K23" s="107">
        <f t="shared" si="0"/>
        <v>2265754</v>
      </c>
      <c r="L23" s="106"/>
    </row>
    <row r="24" spans="2:12" ht="20.25" customHeight="1">
      <c r="B24" s="21">
        <v>15</v>
      </c>
      <c r="C24" s="22" t="s">
        <v>20</v>
      </c>
      <c r="D24" s="120">
        <f>'３月'!J24</f>
        <v>25792</v>
      </c>
      <c r="E24" s="116">
        <f>'３月'!K24</f>
        <v>3517766</v>
      </c>
      <c r="F24" s="105">
        <v>1237</v>
      </c>
      <c r="G24" s="104">
        <v>3215243</v>
      </c>
      <c r="H24" s="103">
        <v>1205</v>
      </c>
      <c r="I24" s="102">
        <v>3160569</v>
      </c>
      <c r="J24" s="101">
        <f t="shared" si="0"/>
        <v>25824</v>
      </c>
      <c r="K24" s="100">
        <f t="shared" si="0"/>
        <v>3572440</v>
      </c>
      <c r="L24" s="99"/>
    </row>
    <row r="25" spans="2:12" ht="20.25" customHeight="1">
      <c r="B25" s="21">
        <v>16</v>
      </c>
      <c r="C25" s="22" t="s">
        <v>21</v>
      </c>
      <c r="D25" s="120">
        <f>'３月'!J25</f>
        <v>8517</v>
      </c>
      <c r="E25" s="116">
        <f>'３月'!K25</f>
        <v>5898023</v>
      </c>
      <c r="F25" s="105">
        <f>5845+18</f>
        <v>5863</v>
      </c>
      <c r="G25" s="104">
        <f>1443379+96003</f>
        <v>1539382</v>
      </c>
      <c r="H25" s="103">
        <v>5777</v>
      </c>
      <c r="I25" s="102">
        <v>1356550</v>
      </c>
      <c r="J25" s="101">
        <f t="shared" si="0"/>
        <v>8603</v>
      </c>
      <c r="K25" s="100">
        <f t="shared" si="0"/>
        <v>6080855</v>
      </c>
      <c r="L25" s="99"/>
    </row>
    <row r="26" spans="2:12" ht="20.25" customHeight="1">
      <c r="B26" s="21">
        <v>17</v>
      </c>
      <c r="C26" s="22" t="s">
        <v>22</v>
      </c>
      <c r="D26" s="120">
        <f>'３月'!J26</f>
        <v>19138</v>
      </c>
      <c r="E26" s="116">
        <f>'３月'!K26</f>
        <v>6458412</v>
      </c>
      <c r="F26" s="105">
        <v>7079</v>
      </c>
      <c r="G26" s="104">
        <v>1368036</v>
      </c>
      <c r="H26" s="103">
        <v>6742</v>
      </c>
      <c r="I26" s="102">
        <v>1340673</v>
      </c>
      <c r="J26" s="101">
        <f t="shared" si="0"/>
        <v>19475</v>
      </c>
      <c r="K26" s="100">
        <f t="shared" si="0"/>
        <v>6485775</v>
      </c>
      <c r="L26" s="99"/>
    </row>
    <row r="27" spans="2:12" ht="20.25" customHeight="1">
      <c r="B27" s="21">
        <v>18</v>
      </c>
      <c r="C27" s="22" t="s">
        <v>51</v>
      </c>
      <c r="D27" s="120">
        <f>'３月'!J27</f>
        <v>2068</v>
      </c>
      <c r="E27" s="116">
        <f>'３月'!K27</f>
        <v>326000</v>
      </c>
      <c r="F27" s="105">
        <v>228</v>
      </c>
      <c r="G27" s="104">
        <v>75150</v>
      </c>
      <c r="H27" s="103">
        <v>277</v>
      </c>
      <c r="I27" s="102">
        <v>88250</v>
      </c>
      <c r="J27" s="101">
        <f t="shared" si="0"/>
        <v>2019</v>
      </c>
      <c r="K27" s="100">
        <f t="shared" si="0"/>
        <v>312900</v>
      </c>
      <c r="L27" s="99"/>
    </row>
    <row r="28" spans="2:12" ht="20.25" customHeight="1">
      <c r="B28" s="21">
        <v>19</v>
      </c>
      <c r="C28" s="22" t="s">
        <v>23</v>
      </c>
      <c r="D28" s="120">
        <f>'３月'!J28</f>
        <v>700</v>
      </c>
      <c r="E28" s="116">
        <f>'３月'!K28</f>
        <v>77000</v>
      </c>
      <c r="F28" s="105">
        <v>820</v>
      </c>
      <c r="G28" s="104">
        <v>90200</v>
      </c>
      <c r="H28" s="103">
        <v>930</v>
      </c>
      <c r="I28" s="102">
        <v>102300</v>
      </c>
      <c r="J28" s="101">
        <f t="shared" si="0"/>
        <v>590</v>
      </c>
      <c r="K28" s="100">
        <f t="shared" si="0"/>
        <v>64900</v>
      </c>
      <c r="L28" s="99"/>
    </row>
    <row r="29" spans="2:12" s="60" customFormat="1" ht="20.25" customHeight="1">
      <c r="B29" s="61">
        <v>20</v>
      </c>
      <c r="C29" s="62" t="s">
        <v>24</v>
      </c>
      <c r="D29" s="120">
        <f>'３月'!J29</f>
        <v>1070</v>
      </c>
      <c r="E29" s="116">
        <f>'３月'!K29</f>
        <v>320539</v>
      </c>
      <c r="F29" s="74">
        <f>20+74</f>
        <v>94</v>
      </c>
      <c r="G29" s="111">
        <f>4000+49330</f>
        <v>53330</v>
      </c>
      <c r="H29" s="110">
        <f>20+47</f>
        <v>67</v>
      </c>
      <c r="I29" s="109">
        <f>4000+42262</f>
        <v>46262</v>
      </c>
      <c r="J29" s="108">
        <f t="shared" si="0"/>
        <v>1097</v>
      </c>
      <c r="K29" s="107">
        <f t="shared" si="0"/>
        <v>327607</v>
      </c>
      <c r="L29" s="106"/>
    </row>
    <row r="30" spans="2:12" s="60" customFormat="1" ht="20.25" customHeight="1">
      <c r="B30" s="61">
        <v>21</v>
      </c>
      <c r="C30" s="62" t="s">
        <v>25</v>
      </c>
      <c r="D30" s="120">
        <f>'３月'!J30</f>
        <v>1413</v>
      </c>
      <c r="E30" s="116">
        <f>'３月'!K30</f>
        <v>860169</v>
      </c>
      <c r="F30" s="112">
        <f>331+235</f>
        <v>566</v>
      </c>
      <c r="G30" s="111">
        <f>180870+63103</f>
        <v>243973</v>
      </c>
      <c r="H30" s="110">
        <f>373+239</f>
        <v>612</v>
      </c>
      <c r="I30" s="109">
        <f>192990+70129</f>
        <v>263119</v>
      </c>
      <c r="J30" s="108">
        <f t="shared" si="0"/>
        <v>1367</v>
      </c>
      <c r="K30" s="107">
        <f t="shared" si="0"/>
        <v>841023</v>
      </c>
      <c r="L30" s="106"/>
    </row>
    <row r="31" spans="2:12" s="60" customFormat="1" ht="20.25" customHeight="1">
      <c r="B31" s="61">
        <v>22</v>
      </c>
      <c r="C31" s="62" t="s">
        <v>26</v>
      </c>
      <c r="D31" s="120">
        <f>'３月'!J31</f>
        <v>0</v>
      </c>
      <c r="E31" s="116">
        <f>'３月'!K31</f>
        <v>0</v>
      </c>
      <c r="F31" s="112">
        <v>0</v>
      </c>
      <c r="G31" s="111">
        <v>0</v>
      </c>
      <c r="H31" s="110">
        <v>0</v>
      </c>
      <c r="I31" s="109">
        <v>0</v>
      </c>
      <c r="J31" s="108">
        <f t="shared" si="0"/>
        <v>0</v>
      </c>
      <c r="K31" s="107">
        <f t="shared" si="0"/>
        <v>0</v>
      </c>
      <c r="L31" s="106"/>
    </row>
    <row r="32" spans="2:12" s="60" customFormat="1" ht="20.25" customHeight="1">
      <c r="B32" s="61">
        <v>23</v>
      </c>
      <c r="C32" s="62" t="s">
        <v>27</v>
      </c>
      <c r="D32" s="120">
        <f>'３月'!J32</f>
        <v>33</v>
      </c>
      <c r="E32" s="116">
        <f>'３月'!K32</f>
        <v>48629</v>
      </c>
      <c r="F32" s="112">
        <v>7</v>
      </c>
      <c r="G32" s="111">
        <v>9192</v>
      </c>
      <c r="H32" s="110">
        <v>1</v>
      </c>
      <c r="I32" s="109">
        <v>4239</v>
      </c>
      <c r="J32" s="108">
        <f t="shared" si="0"/>
        <v>39</v>
      </c>
      <c r="K32" s="107">
        <f t="shared" si="0"/>
        <v>53582</v>
      </c>
      <c r="L32" s="106"/>
    </row>
    <row r="33" spans="2:12" s="60" customFormat="1" ht="20.25" customHeight="1">
      <c r="B33" s="61">
        <v>24</v>
      </c>
      <c r="C33" s="62" t="s">
        <v>28</v>
      </c>
      <c r="D33" s="120">
        <f>'３月'!J33</f>
        <v>23522</v>
      </c>
      <c r="E33" s="116">
        <f>'３月'!K33</f>
        <v>7752088</v>
      </c>
      <c r="F33" s="112">
        <v>15176</v>
      </c>
      <c r="G33" s="111">
        <v>4578679</v>
      </c>
      <c r="H33" s="72">
        <v>15518</v>
      </c>
      <c r="I33" s="109">
        <v>4571181</v>
      </c>
      <c r="J33" s="108">
        <f t="shared" si="0"/>
        <v>23180</v>
      </c>
      <c r="K33" s="107">
        <f t="shared" si="0"/>
        <v>7759586</v>
      </c>
      <c r="L33" s="106"/>
    </row>
    <row r="34" spans="2:12" s="60" customFormat="1" ht="32.25" customHeight="1">
      <c r="B34" s="61">
        <v>25</v>
      </c>
      <c r="C34" s="62" t="s">
        <v>29</v>
      </c>
      <c r="D34" s="120">
        <f>'３月'!J34</f>
        <v>94271</v>
      </c>
      <c r="E34" s="116">
        <f>'３月'!K34</f>
        <v>6844668</v>
      </c>
      <c r="F34" s="112">
        <f>52761+275</f>
        <v>53036</v>
      </c>
      <c r="G34" s="111">
        <f>4966725+305800</f>
        <v>5272525</v>
      </c>
      <c r="H34" s="110">
        <f>50222+269</f>
        <v>50491</v>
      </c>
      <c r="I34" s="109">
        <f>4883501+316700</f>
        <v>5200201</v>
      </c>
      <c r="J34" s="108">
        <f t="shared" si="0"/>
        <v>96816</v>
      </c>
      <c r="K34" s="107">
        <f t="shared" si="0"/>
        <v>6916992</v>
      </c>
      <c r="L34" s="106"/>
    </row>
    <row r="35" spans="2:12" s="60" customFormat="1" ht="20.25" customHeight="1">
      <c r="B35" s="61">
        <v>26</v>
      </c>
      <c r="C35" s="62" t="s">
        <v>30</v>
      </c>
      <c r="D35" s="120">
        <f>'３月'!J35</f>
        <v>5779</v>
      </c>
      <c r="E35" s="116">
        <f>'３月'!K35</f>
        <v>3727273</v>
      </c>
      <c r="F35" s="112">
        <v>1040</v>
      </c>
      <c r="G35" s="111">
        <v>208992</v>
      </c>
      <c r="H35" s="110">
        <v>1513</v>
      </c>
      <c r="I35" s="109">
        <v>317592</v>
      </c>
      <c r="J35" s="108">
        <f t="shared" si="0"/>
        <v>5306</v>
      </c>
      <c r="K35" s="107">
        <f t="shared" si="0"/>
        <v>3618673</v>
      </c>
      <c r="L35" s="106"/>
    </row>
    <row r="36" spans="2:12" s="60" customFormat="1" ht="20.25" customHeight="1">
      <c r="B36" s="61">
        <v>27</v>
      </c>
      <c r="C36" s="62" t="s">
        <v>31</v>
      </c>
      <c r="D36" s="120">
        <f>'３月'!J36</f>
        <v>398</v>
      </c>
      <c r="E36" s="116">
        <f>'３月'!K36</f>
        <v>80400</v>
      </c>
      <c r="F36" s="112">
        <v>285</v>
      </c>
      <c r="G36" s="111">
        <v>57000</v>
      </c>
      <c r="H36" s="110">
        <v>321</v>
      </c>
      <c r="I36" s="109">
        <v>64240</v>
      </c>
      <c r="J36" s="108">
        <f t="shared" si="0"/>
        <v>362</v>
      </c>
      <c r="K36" s="107">
        <f t="shared" si="0"/>
        <v>73160</v>
      </c>
      <c r="L36" s="106"/>
    </row>
    <row r="37" spans="2:12" s="60" customFormat="1" ht="20.25" customHeight="1">
      <c r="B37" s="61">
        <v>28</v>
      </c>
      <c r="C37" s="62" t="s">
        <v>33</v>
      </c>
      <c r="D37" s="120">
        <f>'３月'!J37</f>
        <v>0</v>
      </c>
      <c r="E37" s="116">
        <f>'３月'!K37</f>
        <v>0</v>
      </c>
      <c r="F37" s="112">
        <v>0</v>
      </c>
      <c r="G37" s="111">
        <v>0</v>
      </c>
      <c r="H37" s="110">
        <v>0</v>
      </c>
      <c r="I37" s="109">
        <v>0</v>
      </c>
      <c r="J37" s="108">
        <f t="shared" si="0"/>
        <v>0</v>
      </c>
      <c r="K37" s="107">
        <f t="shared" si="0"/>
        <v>0</v>
      </c>
      <c r="L37" s="106"/>
    </row>
    <row r="38" spans="2:12" s="60" customFormat="1" ht="20.25" customHeight="1">
      <c r="B38" s="61">
        <v>29</v>
      </c>
      <c r="C38" s="62" t="s">
        <v>32</v>
      </c>
      <c r="D38" s="120">
        <f>'３月'!J38</f>
        <v>51</v>
      </c>
      <c r="E38" s="116">
        <f>'３月'!K38</f>
        <v>12160</v>
      </c>
      <c r="F38" s="112">
        <v>41</v>
      </c>
      <c r="G38" s="111">
        <v>9281</v>
      </c>
      <c r="H38" s="110">
        <v>1</v>
      </c>
      <c r="I38" s="109">
        <v>1</v>
      </c>
      <c r="J38" s="108">
        <f t="shared" si="0"/>
        <v>91</v>
      </c>
      <c r="K38" s="107">
        <f t="shared" si="0"/>
        <v>21440</v>
      </c>
      <c r="L38" s="106"/>
    </row>
    <row r="39" spans="2:12" s="60" customFormat="1" ht="20.25" customHeight="1">
      <c r="B39" s="61">
        <v>30</v>
      </c>
      <c r="C39" s="62" t="s">
        <v>34</v>
      </c>
      <c r="D39" s="120">
        <f>'３月'!J39</f>
        <v>1184</v>
      </c>
      <c r="E39" s="116">
        <f>'３月'!K39</f>
        <v>1302400</v>
      </c>
      <c r="F39" s="112">
        <v>100</v>
      </c>
      <c r="G39" s="111">
        <v>110000</v>
      </c>
      <c r="H39" s="110">
        <v>80</v>
      </c>
      <c r="I39" s="109">
        <v>88000</v>
      </c>
      <c r="J39" s="108">
        <f t="shared" si="0"/>
        <v>1204</v>
      </c>
      <c r="K39" s="107">
        <f t="shared" si="0"/>
        <v>1324400</v>
      </c>
      <c r="L39" s="106"/>
    </row>
    <row r="40" spans="2:12" s="60" customFormat="1" ht="20.25" customHeight="1">
      <c r="B40" s="61">
        <v>31</v>
      </c>
      <c r="C40" s="62" t="s">
        <v>35</v>
      </c>
      <c r="D40" s="120">
        <f>'３月'!J40</f>
        <v>0</v>
      </c>
      <c r="E40" s="116">
        <f>'３月'!K40</f>
        <v>0</v>
      </c>
      <c r="F40" s="112">
        <v>0</v>
      </c>
      <c r="G40" s="111">
        <v>0</v>
      </c>
      <c r="H40" s="110">
        <v>0</v>
      </c>
      <c r="I40" s="109">
        <v>0</v>
      </c>
      <c r="J40" s="108">
        <f t="shared" si="0"/>
        <v>0</v>
      </c>
      <c r="K40" s="107">
        <f t="shared" si="0"/>
        <v>0</v>
      </c>
      <c r="L40" s="106"/>
    </row>
    <row r="41" spans="2:12" s="60" customFormat="1" ht="20.25" customHeight="1">
      <c r="B41" s="61">
        <v>32</v>
      </c>
      <c r="C41" s="62" t="s">
        <v>36</v>
      </c>
      <c r="D41" s="120">
        <f>'３月'!J41</f>
        <v>0</v>
      </c>
      <c r="E41" s="116">
        <f>'３月'!K41</f>
        <v>0</v>
      </c>
      <c r="F41" s="112">
        <v>0</v>
      </c>
      <c r="G41" s="111">
        <v>0</v>
      </c>
      <c r="H41" s="110">
        <v>0</v>
      </c>
      <c r="I41" s="109">
        <v>0</v>
      </c>
      <c r="J41" s="108">
        <f t="shared" si="0"/>
        <v>0</v>
      </c>
      <c r="K41" s="107">
        <f t="shared" si="0"/>
        <v>0</v>
      </c>
      <c r="L41" s="106"/>
    </row>
    <row r="42" spans="2:12" s="60" customFormat="1" ht="20.25" customHeight="1">
      <c r="B42" s="61">
        <v>33</v>
      </c>
      <c r="C42" s="62" t="s">
        <v>37</v>
      </c>
      <c r="D42" s="120">
        <f>'３月'!J42</f>
        <v>26891</v>
      </c>
      <c r="E42" s="116">
        <f>'３月'!K42</f>
        <v>2494737</v>
      </c>
      <c r="F42" s="112">
        <v>26063</v>
      </c>
      <c r="G42" s="111">
        <v>7487581</v>
      </c>
      <c r="H42" s="110">
        <v>3586</v>
      </c>
      <c r="I42" s="109">
        <v>1267712</v>
      </c>
      <c r="J42" s="108">
        <f t="shared" si="0"/>
        <v>49368</v>
      </c>
      <c r="K42" s="107">
        <f t="shared" si="0"/>
        <v>8714606</v>
      </c>
      <c r="L42" s="106"/>
    </row>
    <row r="43" spans="2:12" s="60" customFormat="1" ht="33" customHeight="1">
      <c r="B43" s="61">
        <v>34</v>
      </c>
      <c r="C43" s="62" t="s">
        <v>38</v>
      </c>
      <c r="D43" s="120">
        <f>'３月'!J43</f>
        <v>8011</v>
      </c>
      <c r="E43" s="116">
        <f>'３月'!K43</f>
        <v>10850852</v>
      </c>
      <c r="F43" s="112">
        <v>9837</v>
      </c>
      <c r="G43" s="111">
        <v>14296062</v>
      </c>
      <c r="H43" s="110">
        <v>10408</v>
      </c>
      <c r="I43" s="109">
        <v>13573567</v>
      </c>
      <c r="J43" s="108">
        <f t="shared" si="0"/>
        <v>7440</v>
      </c>
      <c r="K43" s="107">
        <f t="shared" si="0"/>
        <v>11573347</v>
      </c>
      <c r="L43" s="106"/>
    </row>
    <row r="44" spans="2:12" s="60" customFormat="1" ht="20.25" customHeight="1">
      <c r="B44" s="61">
        <v>35</v>
      </c>
      <c r="C44" s="62" t="s">
        <v>39</v>
      </c>
      <c r="D44" s="120">
        <f>'３月'!J44</f>
        <v>25</v>
      </c>
      <c r="E44" s="116">
        <f>'３月'!K44</f>
        <v>122640</v>
      </c>
      <c r="F44" s="112">
        <v>8</v>
      </c>
      <c r="G44" s="111">
        <v>12000</v>
      </c>
      <c r="H44" s="110">
        <v>5</v>
      </c>
      <c r="I44" s="109">
        <v>7500</v>
      </c>
      <c r="J44" s="108">
        <f t="shared" si="0"/>
        <v>28</v>
      </c>
      <c r="K44" s="107">
        <f t="shared" si="0"/>
        <v>127140</v>
      </c>
      <c r="L44" s="106"/>
    </row>
    <row r="45" spans="2:12" s="60" customFormat="1" ht="20.25" customHeight="1">
      <c r="B45" s="61">
        <v>36</v>
      </c>
      <c r="C45" s="62" t="s">
        <v>40</v>
      </c>
      <c r="D45" s="120">
        <f>'３月'!J45</f>
        <v>6477</v>
      </c>
      <c r="E45" s="116">
        <f>'３月'!K45</f>
        <v>3283399</v>
      </c>
      <c r="F45" s="112">
        <v>4414</v>
      </c>
      <c r="G45" s="111">
        <v>1788465</v>
      </c>
      <c r="H45" s="110">
        <v>5367</v>
      </c>
      <c r="I45" s="109">
        <v>2174464</v>
      </c>
      <c r="J45" s="108">
        <f t="shared" si="0"/>
        <v>5524</v>
      </c>
      <c r="K45" s="107">
        <f t="shared" si="0"/>
        <v>2897400</v>
      </c>
      <c r="L45" s="106"/>
    </row>
    <row r="46" spans="2:12" ht="20.25" customHeight="1">
      <c r="B46" s="21">
        <v>37</v>
      </c>
      <c r="C46" s="22" t="s">
        <v>41</v>
      </c>
      <c r="D46" s="120">
        <f>'３月'!J46</f>
        <v>10788</v>
      </c>
      <c r="E46" s="116">
        <f>'３月'!K46</f>
        <v>2179814</v>
      </c>
      <c r="F46" s="105">
        <v>4381</v>
      </c>
      <c r="G46" s="104">
        <v>1049547</v>
      </c>
      <c r="H46" s="103">
        <v>4307</v>
      </c>
      <c r="I46" s="102">
        <v>853024</v>
      </c>
      <c r="J46" s="101">
        <f t="shared" si="0"/>
        <v>10862</v>
      </c>
      <c r="K46" s="100">
        <f t="shared" si="0"/>
        <v>2376337</v>
      </c>
      <c r="L46" s="99"/>
    </row>
    <row r="47" spans="2:12" ht="32.25" customHeight="1">
      <c r="B47" s="21">
        <v>38</v>
      </c>
      <c r="C47" s="22" t="s">
        <v>42</v>
      </c>
      <c r="D47" s="120">
        <f>'３月'!J47</f>
        <v>2952</v>
      </c>
      <c r="E47" s="116">
        <f>'３月'!K47</f>
        <v>1813455</v>
      </c>
      <c r="F47" s="105">
        <v>919</v>
      </c>
      <c r="G47" s="104">
        <v>417280</v>
      </c>
      <c r="H47" s="103">
        <v>875</v>
      </c>
      <c r="I47" s="102">
        <v>387185</v>
      </c>
      <c r="J47" s="101">
        <f t="shared" si="0"/>
        <v>2996</v>
      </c>
      <c r="K47" s="100">
        <f t="shared" si="0"/>
        <v>1843550</v>
      </c>
      <c r="L47" s="99"/>
    </row>
    <row r="48" spans="2:12" ht="20.25" customHeight="1">
      <c r="B48" s="21">
        <v>39</v>
      </c>
      <c r="C48" s="22" t="s">
        <v>43</v>
      </c>
      <c r="D48" s="120">
        <f>'３月'!J48</f>
        <v>0</v>
      </c>
      <c r="E48" s="116">
        <f>'３月'!K48</f>
        <v>0</v>
      </c>
      <c r="F48" s="105">
        <v>0</v>
      </c>
      <c r="G48" s="104">
        <v>0</v>
      </c>
      <c r="H48" s="103">
        <v>0</v>
      </c>
      <c r="I48" s="102">
        <v>0</v>
      </c>
      <c r="J48" s="101">
        <f t="shared" si="0"/>
        <v>0</v>
      </c>
      <c r="K48" s="100">
        <f t="shared" si="0"/>
        <v>0</v>
      </c>
      <c r="L48" s="99"/>
    </row>
    <row r="49" spans="2:12" ht="20.25" customHeight="1" thickBot="1">
      <c r="B49" s="23">
        <v>40</v>
      </c>
      <c r="C49" s="24" t="s">
        <v>50</v>
      </c>
      <c r="D49" s="120">
        <f>'３月'!J49</f>
        <v>7272</v>
      </c>
      <c r="E49" s="116">
        <f>'３月'!K49</f>
        <v>2343415</v>
      </c>
      <c r="F49" s="98">
        <v>8031</v>
      </c>
      <c r="G49" s="97">
        <v>1630259</v>
      </c>
      <c r="H49" s="96">
        <v>7281</v>
      </c>
      <c r="I49" s="95">
        <v>1574882</v>
      </c>
      <c r="J49" s="94">
        <f t="shared" si="0"/>
        <v>8022</v>
      </c>
      <c r="K49" s="93">
        <f t="shared" si="0"/>
        <v>2398792</v>
      </c>
      <c r="L49" s="92"/>
    </row>
    <row r="50" spans="2:12" ht="21" customHeight="1" thickBot="1" thickTop="1">
      <c r="B50" s="140" t="s">
        <v>46</v>
      </c>
      <c r="C50" s="141"/>
      <c r="D50" s="91">
        <f aca="true" t="shared" si="1" ref="D50:I50">SUM(D10:D49)</f>
        <v>293610</v>
      </c>
      <c r="E50" s="90">
        <f t="shared" si="1"/>
        <v>71811224</v>
      </c>
      <c r="F50" s="89">
        <f t="shared" si="1"/>
        <v>149232</v>
      </c>
      <c r="G50" s="87">
        <f t="shared" si="1"/>
        <v>46822546</v>
      </c>
      <c r="H50" s="89">
        <f t="shared" si="1"/>
        <v>127563</v>
      </c>
      <c r="I50" s="87">
        <f t="shared" si="1"/>
        <v>39510690</v>
      </c>
      <c r="J50" s="88">
        <f t="shared" si="0"/>
        <v>315279</v>
      </c>
      <c r="K50" s="87">
        <f t="shared" si="0"/>
        <v>79123080</v>
      </c>
      <c r="L50" s="86"/>
    </row>
    <row r="51" spans="10:11" ht="13.5">
      <c r="J51" s="85"/>
      <c r="K51" s="85"/>
    </row>
    <row r="52" spans="10:11" ht="13.5">
      <c r="J52" s="84"/>
      <c r="K52" s="84"/>
    </row>
    <row r="53" spans="4:11" ht="13.5">
      <c r="D53" s="60"/>
      <c r="E53" s="60"/>
      <c r="F53" s="60"/>
      <c r="J53" s="77"/>
      <c r="K53" s="77"/>
    </row>
    <row r="54" spans="4:6" ht="13.5">
      <c r="D54" s="60"/>
      <c r="E54" s="60"/>
      <c r="F54" s="60"/>
    </row>
    <row r="55" spans="4:11" ht="13.5">
      <c r="D55" s="80"/>
      <c r="E55" s="80"/>
      <c r="F55" s="80"/>
      <c r="G55" s="75"/>
      <c r="H55" s="75"/>
      <c r="I55" s="75"/>
      <c r="J55" s="82"/>
      <c r="K55" s="82"/>
    </row>
    <row r="56" spans="4:11" ht="13.5">
      <c r="D56" s="135"/>
      <c r="E56" s="80"/>
      <c r="F56" s="136"/>
      <c r="G56" s="75"/>
      <c r="H56" s="75"/>
      <c r="I56" s="75"/>
      <c r="J56" s="82"/>
      <c r="K56" s="82"/>
    </row>
    <row r="57" spans="4:11" ht="13.5">
      <c r="D57" s="80"/>
      <c r="E57" s="80"/>
      <c r="F57" s="80"/>
      <c r="G57" s="80"/>
      <c r="H57" s="80"/>
      <c r="I57" s="80"/>
      <c r="J57" s="80"/>
      <c r="K57" s="80"/>
    </row>
    <row r="58" spans="4:11" ht="13.5">
      <c r="D58" s="135"/>
      <c r="E58" s="135"/>
      <c r="F58" s="135"/>
      <c r="G58" s="80"/>
      <c r="H58" s="80"/>
      <c r="I58" s="80"/>
      <c r="J58" s="80"/>
      <c r="K58" s="80"/>
    </row>
    <row r="59" spans="4:11" ht="13.5">
      <c r="D59" s="80"/>
      <c r="E59" s="80"/>
      <c r="F59" s="80"/>
      <c r="G59" s="80"/>
      <c r="H59" s="80"/>
      <c r="I59" s="80"/>
      <c r="J59" s="83"/>
      <c r="K59" s="83"/>
    </row>
    <row r="60" spans="4:11" ht="13.5">
      <c r="D60" s="135"/>
      <c r="E60" s="135"/>
      <c r="F60" s="135"/>
      <c r="G60" s="80"/>
      <c r="H60" s="80"/>
      <c r="I60" s="80"/>
      <c r="J60" s="83"/>
      <c r="K60" s="83"/>
    </row>
    <row r="61" spans="4:11" ht="13.5">
      <c r="D61" s="80"/>
      <c r="E61" s="80"/>
      <c r="F61" s="80"/>
      <c r="G61" s="80"/>
      <c r="H61" s="80"/>
      <c r="I61" s="80"/>
      <c r="J61" s="80"/>
      <c r="K61" s="80"/>
    </row>
    <row r="62" spans="4:11" ht="13.5">
      <c r="D62" s="75"/>
      <c r="E62" s="75"/>
      <c r="F62" s="75"/>
      <c r="G62" s="75"/>
      <c r="H62" s="75"/>
      <c r="I62" s="75"/>
      <c r="J62" s="75"/>
      <c r="K62" s="75"/>
    </row>
    <row r="63" spans="4:11" ht="13.5">
      <c r="D63" s="75"/>
      <c r="E63" s="75"/>
      <c r="F63" s="75"/>
      <c r="G63" s="75"/>
      <c r="H63" s="75"/>
      <c r="I63" s="75"/>
      <c r="J63" s="82"/>
      <c r="K63" s="82"/>
    </row>
    <row r="64" spans="4:11" ht="13.5">
      <c r="D64" s="75"/>
      <c r="E64" s="75"/>
      <c r="F64" s="75"/>
      <c r="G64" s="75"/>
      <c r="H64" s="75"/>
      <c r="I64" s="75"/>
      <c r="J64" s="82"/>
      <c r="K64" s="82"/>
    </row>
    <row r="65" spans="4:11" ht="13.5">
      <c r="D65" s="75"/>
      <c r="E65" s="75"/>
      <c r="F65" s="75"/>
      <c r="G65" s="75"/>
      <c r="H65" s="75"/>
      <c r="I65" s="75"/>
      <c r="J65" s="75"/>
      <c r="K65" s="75"/>
    </row>
  </sheetData>
  <sheetProtection/>
  <mergeCells count="9">
    <mergeCell ref="B50:C50"/>
    <mergeCell ref="B2:L2"/>
    <mergeCell ref="J4:L4"/>
    <mergeCell ref="J5:L5"/>
    <mergeCell ref="D7:E7"/>
    <mergeCell ref="F7:G7"/>
    <mergeCell ref="H7:I7"/>
    <mergeCell ref="J7:K7"/>
    <mergeCell ref="L7:L9"/>
  </mergeCells>
  <printOptions horizontalCentered="1"/>
  <pageMargins left="0.3937007874015748" right="0.3937007874015748" top="0.5905511811023623" bottom="0.3937007874015748" header="0" footer="0"/>
  <pageSetup fitToHeight="1" fitToWidth="1" horizontalDpi="300" verticalDpi="300" orientation="portrait" paperSize="9" scale="8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65"/>
  <sheetViews>
    <sheetView zoomScalePageLayoutView="0" workbookViewId="0" topLeftCell="A1">
      <pane xSplit="5" ySplit="9" topLeftCell="F46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F10" sqref="F10"/>
    </sheetView>
  </sheetViews>
  <sheetFormatPr defaultColWidth="9.00390625" defaultRowHeight="13.5"/>
  <cols>
    <col min="1" max="1" width="4.375" style="1" customWidth="1"/>
    <col min="2" max="2" width="3.375" style="1" customWidth="1"/>
    <col min="3" max="3" width="15.125" style="1" customWidth="1"/>
    <col min="4" max="4" width="10.00390625" style="1" customWidth="1"/>
    <col min="5" max="5" width="11.25390625" style="1" customWidth="1"/>
    <col min="6" max="6" width="10.00390625" style="1" customWidth="1"/>
    <col min="7" max="7" width="11.25390625" style="1" customWidth="1"/>
    <col min="8" max="8" width="10.00390625" style="1" customWidth="1"/>
    <col min="9" max="9" width="11.25390625" style="1" customWidth="1"/>
    <col min="10" max="10" width="10.00390625" style="1" customWidth="1"/>
    <col min="11" max="11" width="11.25390625" style="1" customWidth="1"/>
    <col min="12" max="12" width="9.375" style="1" customWidth="1"/>
    <col min="13" max="13" width="4.00390625" style="1" customWidth="1"/>
    <col min="14" max="16384" width="9.00390625" style="1" customWidth="1"/>
  </cols>
  <sheetData>
    <row r="2" spans="2:12" ht="18.75" customHeight="1">
      <c r="B2" s="142" t="s">
        <v>47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2:12" ht="15" customHeight="1">
      <c r="B3" s="28" t="str">
        <f>'１月'!$B$3</f>
        <v>平成２８年</v>
      </c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2:12" ht="18" customHeight="1">
      <c r="B4" s="27"/>
      <c r="C4" s="54" t="s">
        <v>66</v>
      </c>
      <c r="E4" s="28" t="s">
        <v>54</v>
      </c>
      <c r="I4" s="121" t="s">
        <v>52</v>
      </c>
      <c r="J4" s="152" t="s">
        <v>57</v>
      </c>
      <c r="K4" s="152"/>
      <c r="L4" s="152"/>
    </row>
    <row r="5" spans="3:12" ht="18" customHeight="1">
      <c r="C5" s="1" t="s">
        <v>59</v>
      </c>
      <c r="I5" s="2" t="s">
        <v>53</v>
      </c>
      <c r="J5" s="148"/>
      <c r="K5" s="148"/>
      <c r="L5" s="148"/>
    </row>
    <row r="6" spans="5:12" ht="18" customHeight="1" thickBot="1">
      <c r="E6" s="1" t="s">
        <v>58</v>
      </c>
      <c r="I6" s="2"/>
      <c r="J6" s="55"/>
      <c r="K6" s="55"/>
      <c r="L6" s="55"/>
    </row>
    <row r="7" spans="2:12" ht="18.75" customHeight="1">
      <c r="B7" s="3"/>
      <c r="C7" s="4" t="s">
        <v>48</v>
      </c>
      <c r="D7" s="143" t="s">
        <v>0</v>
      </c>
      <c r="E7" s="144"/>
      <c r="F7" s="145" t="s">
        <v>1</v>
      </c>
      <c r="G7" s="146"/>
      <c r="H7" s="144" t="s">
        <v>2</v>
      </c>
      <c r="I7" s="144"/>
      <c r="J7" s="145" t="s">
        <v>3</v>
      </c>
      <c r="K7" s="146"/>
      <c r="L7" s="149" t="s">
        <v>4</v>
      </c>
    </row>
    <row r="8" spans="2:12" ht="18.75" customHeight="1">
      <c r="B8" s="5"/>
      <c r="C8" s="6"/>
      <c r="D8" s="7" t="s">
        <v>44</v>
      </c>
      <c r="E8" s="8" t="s">
        <v>45</v>
      </c>
      <c r="F8" s="9" t="s">
        <v>44</v>
      </c>
      <c r="G8" s="10" t="s">
        <v>45</v>
      </c>
      <c r="H8" s="11" t="s">
        <v>44</v>
      </c>
      <c r="I8" s="8" t="s">
        <v>45</v>
      </c>
      <c r="J8" s="9" t="s">
        <v>44</v>
      </c>
      <c r="K8" s="10" t="s">
        <v>45</v>
      </c>
      <c r="L8" s="150"/>
    </row>
    <row r="9" spans="2:12" ht="18.75" customHeight="1" thickBot="1">
      <c r="B9" s="12" t="s">
        <v>49</v>
      </c>
      <c r="C9" s="13"/>
      <c r="D9" s="14" t="s">
        <v>55</v>
      </c>
      <c r="E9" s="15" t="s">
        <v>5</v>
      </c>
      <c r="F9" s="16" t="s">
        <v>55</v>
      </c>
      <c r="G9" s="17" t="s">
        <v>5</v>
      </c>
      <c r="H9" s="18" t="s">
        <v>55</v>
      </c>
      <c r="I9" s="15" t="s">
        <v>5</v>
      </c>
      <c r="J9" s="16" t="s">
        <v>55</v>
      </c>
      <c r="K9" s="17" t="s">
        <v>5</v>
      </c>
      <c r="L9" s="151"/>
    </row>
    <row r="10" spans="2:14" ht="20.25" customHeight="1" thickTop="1">
      <c r="B10" s="19">
        <v>1</v>
      </c>
      <c r="C10" s="20" t="s">
        <v>6</v>
      </c>
      <c r="D10" s="120">
        <f>'４月'!J10</f>
        <v>30884</v>
      </c>
      <c r="E10" s="116">
        <f>'４月'!K10</f>
        <v>7981680</v>
      </c>
      <c r="F10" s="119">
        <v>7312</v>
      </c>
      <c r="G10" s="118">
        <v>1576192</v>
      </c>
      <c r="H10" s="117">
        <v>1902</v>
      </c>
      <c r="I10" s="116">
        <v>320975</v>
      </c>
      <c r="J10" s="115">
        <f aca="true" t="shared" si="0" ref="J10:K50">D10+F10-H10</f>
        <v>36294</v>
      </c>
      <c r="K10" s="114">
        <f t="shared" si="0"/>
        <v>9236897</v>
      </c>
      <c r="L10" s="113"/>
      <c r="N10" s="60"/>
    </row>
    <row r="11" spans="2:12" ht="20.25" customHeight="1">
      <c r="B11" s="21">
        <v>2</v>
      </c>
      <c r="C11" s="22" t="s">
        <v>7</v>
      </c>
      <c r="D11" s="120">
        <f>'４月'!J11</f>
        <v>0</v>
      </c>
      <c r="E11" s="116">
        <f>'４月'!K11</f>
        <v>216</v>
      </c>
      <c r="F11" s="105">
        <v>70</v>
      </c>
      <c r="G11" s="104">
        <v>3500</v>
      </c>
      <c r="H11" s="103">
        <v>0</v>
      </c>
      <c r="I11" s="102">
        <v>0</v>
      </c>
      <c r="J11" s="101">
        <f t="shared" si="0"/>
        <v>70</v>
      </c>
      <c r="K11" s="100">
        <f t="shared" si="0"/>
        <v>3716</v>
      </c>
      <c r="L11" s="99"/>
    </row>
    <row r="12" spans="2:12" ht="20.25" customHeight="1">
      <c r="B12" s="21">
        <v>3</v>
      </c>
      <c r="C12" s="22" t="s">
        <v>8</v>
      </c>
      <c r="D12" s="120">
        <f>'４月'!J12</f>
        <v>0</v>
      </c>
      <c r="E12" s="116">
        <f>'４月'!K12</f>
        <v>0</v>
      </c>
      <c r="F12" s="105">
        <v>0</v>
      </c>
      <c r="G12" s="104">
        <v>0</v>
      </c>
      <c r="H12" s="103">
        <v>0</v>
      </c>
      <c r="I12" s="102">
        <v>0</v>
      </c>
      <c r="J12" s="101">
        <f t="shared" si="0"/>
        <v>0</v>
      </c>
      <c r="K12" s="100">
        <f t="shared" si="0"/>
        <v>0</v>
      </c>
      <c r="L12" s="99"/>
    </row>
    <row r="13" spans="2:12" ht="20.25" customHeight="1">
      <c r="B13" s="21">
        <v>4</v>
      </c>
      <c r="C13" s="22" t="s">
        <v>9</v>
      </c>
      <c r="D13" s="120">
        <f>'４月'!J13</f>
        <v>601</v>
      </c>
      <c r="E13" s="116">
        <f>'４月'!K13</f>
        <v>93146</v>
      </c>
      <c r="F13" s="105">
        <v>548</v>
      </c>
      <c r="G13" s="104">
        <v>75350</v>
      </c>
      <c r="H13" s="103">
        <v>180</v>
      </c>
      <c r="I13" s="102">
        <v>25918</v>
      </c>
      <c r="J13" s="101">
        <f t="shared" si="0"/>
        <v>969</v>
      </c>
      <c r="K13" s="100">
        <f t="shared" si="0"/>
        <v>142578</v>
      </c>
      <c r="L13" s="99"/>
    </row>
    <row r="14" spans="2:12" ht="20.25" customHeight="1">
      <c r="B14" s="21">
        <v>5</v>
      </c>
      <c r="C14" s="22" t="s">
        <v>10</v>
      </c>
      <c r="D14" s="120">
        <f>'４月'!J14</f>
        <v>0</v>
      </c>
      <c r="E14" s="116">
        <f>'４月'!K14</f>
        <v>0</v>
      </c>
      <c r="F14" s="105">
        <v>0</v>
      </c>
      <c r="G14" s="104">
        <v>0</v>
      </c>
      <c r="H14" s="103">
        <v>0</v>
      </c>
      <c r="I14" s="102">
        <v>0</v>
      </c>
      <c r="J14" s="101">
        <f t="shared" si="0"/>
        <v>0</v>
      </c>
      <c r="K14" s="100">
        <f t="shared" si="0"/>
        <v>0</v>
      </c>
      <c r="L14" s="99"/>
    </row>
    <row r="15" spans="2:12" ht="20.25" customHeight="1">
      <c r="B15" s="21">
        <v>6</v>
      </c>
      <c r="C15" s="22" t="s">
        <v>11</v>
      </c>
      <c r="D15" s="120">
        <f>'４月'!J15</f>
        <v>0</v>
      </c>
      <c r="E15" s="116">
        <f>'４月'!K15</f>
        <v>0</v>
      </c>
      <c r="F15" s="105">
        <v>0</v>
      </c>
      <c r="G15" s="104">
        <v>0</v>
      </c>
      <c r="H15" s="103">
        <v>0</v>
      </c>
      <c r="I15" s="102">
        <v>0</v>
      </c>
      <c r="J15" s="101">
        <f t="shared" si="0"/>
        <v>0</v>
      </c>
      <c r="K15" s="100">
        <f t="shared" si="0"/>
        <v>0</v>
      </c>
      <c r="L15" s="99"/>
    </row>
    <row r="16" spans="2:12" ht="20.25" customHeight="1">
      <c r="B16" s="21">
        <v>7</v>
      </c>
      <c r="C16" s="22" t="s">
        <v>12</v>
      </c>
      <c r="D16" s="120">
        <f>'４月'!J16</f>
        <v>0</v>
      </c>
      <c r="E16" s="116">
        <f>'４月'!K16</f>
        <v>0</v>
      </c>
      <c r="F16" s="105">
        <v>0</v>
      </c>
      <c r="G16" s="104">
        <v>0</v>
      </c>
      <c r="H16" s="103">
        <v>0</v>
      </c>
      <c r="I16" s="102">
        <v>0</v>
      </c>
      <c r="J16" s="101">
        <f t="shared" si="0"/>
        <v>0</v>
      </c>
      <c r="K16" s="100">
        <f t="shared" si="0"/>
        <v>0</v>
      </c>
      <c r="L16" s="99"/>
    </row>
    <row r="17" spans="2:12" ht="20.25" customHeight="1">
      <c r="B17" s="21">
        <v>8</v>
      </c>
      <c r="C17" s="22" t="s">
        <v>13</v>
      </c>
      <c r="D17" s="120">
        <f>'４月'!J17</f>
        <v>0</v>
      </c>
      <c r="E17" s="116">
        <f>'４月'!K17</f>
        <v>0</v>
      </c>
      <c r="F17" s="105">
        <v>0</v>
      </c>
      <c r="G17" s="104">
        <v>0</v>
      </c>
      <c r="H17" s="103">
        <v>0</v>
      </c>
      <c r="I17" s="102">
        <v>0</v>
      </c>
      <c r="J17" s="101">
        <f t="shared" si="0"/>
        <v>0</v>
      </c>
      <c r="K17" s="100">
        <f t="shared" si="0"/>
        <v>0</v>
      </c>
      <c r="L17" s="99"/>
    </row>
    <row r="18" spans="2:12" ht="20.25" customHeight="1">
      <c r="B18" s="21">
        <v>9</v>
      </c>
      <c r="C18" s="22" t="s">
        <v>14</v>
      </c>
      <c r="D18" s="120">
        <f>'４月'!J18</f>
        <v>64</v>
      </c>
      <c r="E18" s="116">
        <f>'４月'!K18</f>
        <v>10035</v>
      </c>
      <c r="F18" s="105">
        <v>48</v>
      </c>
      <c r="G18" s="104">
        <v>4560</v>
      </c>
      <c r="H18" s="103">
        <v>66</v>
      </c>
      <c r="I18" s="102">
        <v>7041</v>
      </c>
      <c r="J18" s="101">
        <f t="shared" si="0"/>
        <v>46</v>
      </c>
      <c r="K18" s="100">
        <f t="shared" si="0"/>
        <v>7554</v>
      </c>
      <c r="L18" s="99"/>
    </row>
    <row r="19" spans="2:12" ht="20.25" customHeight="1">
      <c r="B19" s="21">
        <v>10</v>
      </c>
      <c r="C19" s="22" t="s">
        <v>15</v>
      </c>
      <c r="D19" s="120">
        <f>'４月'!J19</f>
        <v>0</v>
      </c>
      <c r="E19" s="116">
        <f>'４月'!K19</f>
        <v>0</v>
      </c>
      <c r="F19" s="105">
        <v>0</v>
      </c>
      <c r="G19" s="104">
        <v>0</v>
      </c>
      <c r="H19" s="103">
        <v>0</v>
      </c>
      <c r="I19" s="102">
        <v>0</v>
      </c>
      <c r="J19" s="101">
        <f t="shared" si="0"/>
        <v>0</v>
      </c>
      <c r="K19" s="100">
        <f t="shared" si="0"/>
        <v>0</v>
      </c>
      <c r="L19" s="99"/>
    </row>
    <row r="20" spans="2:12" ht="20.25" customHeight="1">
      <c r="B20" s="21">
        <v>11</v>
      </c>
      <c r="C20" s="22" t="s">
        <v>16</v>
      </c>
      <c r="D20" s="120">
        <f>'４月'!J20</f>
        <v>11</v>
      </c>
      <c r="E20" s="116">
        <f>'４月'!K20</f>
        <v>504</v>
      </c>
      <c r="F20" s="105">
        <v>15</v>
      </c>
      <c r="G20" s="104">
        <v>726</v>
      </c>
      <c r="H20" s="103">
        <v>19</v>
      </c>
      <c r="I20" s="102">
        <v>918</v>
      </c>
      <c r="J20" s="101">
        <f t="shared" si="0"/>
        <v>7</v>
      </c>
      <c r="K20" s="100">
        <f t="shared" si="0"/>
        <v>312</v>
      </c>
      <c r="L20" s="99"/>
    </row>
    <row r="21" spans="2:12" ht="20.25" customHeight="1">
      <c r="B21" s="21">
        <v>12</v>
      </c>
      <c r="C21" s="22" t="s">
        <v>17</v>
      </c>
      <c r="D21" s="120">
        <f>'４月'!J21</f>
        <v>0</v>
      </c>
      <c r="E21" s="116">
        <f>'４月'!K21</f>
        <v>0</v>
      </c>
      <c r="F21" s="105">
        <v>0</v>
      </c>
      <c r="G21" s="104">
        <v>0</v>
      </c>
      <c r="H21" s="103">
        <v>0</v>
      </c>
      <c r="I21" s="102">
        <v>0</v>
      </c>
      <c r="J21" s="101">
        <f t="shared" si="0"/>
        <v>0</v>
      </c>
      <c r="K21" s="100">
        <f t="shared" si="0"/>
        <v>0</v>
      </c>
      <c r="L21" s="99"/>
    </row>
    <row r="22" spans="2:12" ht="20.25" customHeight="1">
      <c r="B22" s="21">
        <v>13</v>
      </c>
      <c r="C22" s="22" t="s">
        <v>18</v>
      </c>
      <c r="D22" s="120">
        <f>'４月'!J22</f>
        <v>10549</v>
      </c>
      <c r="E22" s="116">
        <f>'４月'!K22</f>
        <v>1387240</v>
      </c>
      <c r="F22" s="105">
        <v>1576</v>
      </c>
      <c r="G22" s="104">
        <v>229720</v>
      </c>
      <c r="H22" s="103">
        <v>3196</v>
      </c>
      <c r="I22" s="102">
        <v>417100</v>
      </c>
      <c r="J22" s="101">
        <f t="shared" si="0"/>
        <v>8929</v>
      </c>
      <c r="K22" s="100">
        <f t="shared" si="0"/>
        <v>1199860</v>
      </c>
      <c r="L22" s="99"/>
    </row>
    <row r="23" spans="2:12" s="60" customFormat="1" ht="20.25" customHeight="1">
      <c r="B23" s="61">
        <v>14</v>
      </c>
      <c r="C23" s="62" t="s">
        <v>19</v>
      </c>
      <c r="D23" s="120">
        <f>'４月'!J23</f>
        <v>2957</v>
      </c>
      <c r="E23" s="116">
        <f>'４月'!K23</f>
        <v>2265754</v>
      </c>
      <c r="F23" s="112">
        <v>1691</v>
      </c>
      <c r="G23" s="111">
        <v>1721850</v>
      </c>
      <c r="H23" s="110">
        <v>1578</v>
      </c>
      <c r="I23" s="109">
        <v>1581338</v>
      </c>
      <c r="J23" s="108">
        <f t="shared" si="0"/>
        <v>3070</v>
      </c>
      <c r="K23" s="107">
        <f t="shared" si="0"/>
        <v>2406266</v>
      </c>
      <c r="L23" s="106"/>
    </row>
    <row r="24" spans="2:12" ht="20.25" customHeight="1">
      <c r="B24" s="21">
        <v>15</v>
      </c>
      <c r="C24" s="22" t="s">
        <v>20</v>
      </c>
      <c r="D24" s="120">
        <f>'４月'!J24</f>
        <v>25824</v>
      </c>
      <c r="E24" s="116">
        <f>'４月'!K24</f>
        <v>3572440</v>
      </c>
      <c r="F24" s="105">
        <v>1105</v>
      </c>
      <c r="G24" s="104">
        <v>1927035</v>
      </c>
      <c r="H24" s="103">
        <v>1066</v>
      </c>
      <c r="I24" s="102">
        <v>1829392</v>
      </c>
      <c r="J24" s="101">
        <f t="shared" si="0"/>
        <v>25863</v>
      </c>
      <c r="K24" s="100">
        <f t="shared" si="0"/>
        <v>3670083</v>
      </c>
      <c r="L24" s="99"/>
    </row>
    <row r="25" spans="2:12" ht="20.25" customHeight="1">
      <c r="B25" s="21">
        <v>16</v>
      </c>
      <c r="C25" s="22" t="s">
        <v>21</v>
      </c>
      <c r="D25" s="120">
        <f>'４月'!J25</f>
        <v>8603</v>
      </c>
      <c r="E25" s="116">
        <f>'４月'!K25</f>
        <v>6080855</v>
      </c>
      <c r="F25" s="105">
        <f>5429+23</f>
        <v>5452</v>
      </c>
      <c r="G25" s="104">
        <f>1179486+44757</f>
        <v>1224243</v>
      </c>
      <c r="H25" s="103">
        <f>5365+1</f>
        <v>5366</v>
      </c>
      <c r="I25" s="102">
        <f>1414521+654</f>
        <v>1415175</v>
      </c>
      <c r="J25" s="101">
        <f t="shared" si="0"/>
        <v>8689</v>
      </c>
      <c r="K25" s="100">
        <f t="shared" si="0"/>
        <v>5889923</v>
      </c>
      <c r="L25" s="99"/>
    </row>
    <row r="26" spans="2:12" ht="20.25" customHeight="1">
      <c r="B26" s="21">
        <v>17</v>
      </c>
      <c r="C26" s="22" t="s">
        <v>22</v>
      </c>
      <c r="D26" s="120">
        <f>'４月'!J26</f>
        <v>19475</v>
      </c>
      <c r="E26" s="116">
        <f>'４月'!K26</f>
        <v>6485775</v>
      </c>
      <c r="F26" s="105">
        <v>6080</v>
      </c>
      <c r="G26" s="104">
        <v>1112914</v>
      </c>
      <c r="H26" s="103">
        <v>6583</v>
      </c>
      <c r="I26" s="102">
        <v>1248391</v>
      </c>
      <c r="J26" s="101">
        <f t="shared" si="0"/>
        <v>18972</v>
      </c>
      <c r="K26" s="100">
        <f t="shared" si="0"/>
        <v>6350298</v>
      </c>
      <c r="L26" s="99"/>
    </row>
    <row r="27" spans="2:12" ht="20.25" customHeight="1">
      <c r="B27" s="21">
        <v>18</v>
      </c>
      <c r="C27" s="22" t="s">
        <v>51</v>
      </c>
      <c r="D27" s="120">
        <f>'４月'!J27</f>
        <v>2019</v>
      </c>
      <c r="E27" s="116">
        <f>'４月'!K27</f>
        <v>312900</v>
      </c>
      <c r="F27" s="105">
        <v>228</v>
      </c>
      <c r="G27" s="104">
        <v>75900</v>
      </c>
      <c r="H27" s="103">
        <v>226</v>
      </c>
      <c r="I27" s="102">
        <v>63700</v>
      </c>
      <c r="J27" s="101">
        <f t="shared" si="0"/>
        <v>2021</v>
      </c>
      <c r="K27" s="100">
        <f t="shared" si="0"/>
        <v>325100</v>
      </c>
      <c r="L27" s="99"/>
    </row>
    <row r="28" spans="2:12" ht="20.25" customHeight="1">
      <c r="B28" s="21">
        <v>19</v>
      </c>
      <c r="C28" s="22" t="s">
        <v>23</v>
      </c>
      <c r="D28" s="120">
        <f>'４月'!J28</f>
        <v>590</v>
      </c>
      <c r="E28" s="116">
        <f>'４月'!K28</f>
        <v>64900</v>
      </c>
      <c r="F28" s="105">
        <v>460</v>
      </c>
      <c r="G28" s="104">
        <v>50600</v>
      </c>
      <c r="H28" s="103">
        <v>390</v>
      </c>
      <c r="I28" s="102">
        <v>42900</v>
      </c>
      <c r="J28" s="101">
        <f t="shared" si="0"/>
        <v>660</v>
      </c>
      <c r="K28" s="100">
        <f t="shared" si="0"/>
        <v>72600</v>
      </c>
      <c r="L28" s="99"/>
    </row>
    <row r="29" spans="2:12" s="60" customFormat="1" ht="20.25" customHeight="1">
      <c r="B29" s="61">
        <v>20</v>
      </c>
      <c r="C29" s="62" t="s">
        <v>24</v>
      </c>
      <c r="D29" s="120">
        <f>'４月'!J29</f>
        <v>1097</v>
      </c>
      <c r="E29" s="116">
        <f>'４月'!K29</f>
        <v>327607</v>
      </c>
      <c r="F29" s="74">
        <f>20+39</f>
        <v>59</v>
      </c>
      <c r="G29" s="111">
        <f>4000+44530</f>
        <v>48530</v>
      </c>
      <c r="H29" s="110">
        <f>20+55</f>
        <v>75</v>
      </c>
      <c r="I29" s="109">
        <f>4000+53810</f>
        <v>57810</v>
      </c>
      <c r="J29" s="108">
        <f t="shared" si="0"/>
        <v>1081</v>
      </c>
      <c r="K29" s="107">
        <f t="shared" si="0"/>
        <v>318327</v>
      </c>
      <c r="L29" s="106"/>
    </row>
    <row r="30" spans="2:12" s="60" customFormat="1" ht="20.25" customHeight="1">
      <c r="B30" s="61">
        <v>21</v>
      </c>
      <c r="C30" s="62" t="s">
        <v>25</v>
      </c>
      <c r="D30" s="120">
        <f>'４月'!J30</f>
        <v>1367</v>
      </c>
      <c r="E30" s="116">
        <f>'４月'!K30</f>
        <v>841023</v>
      </c>
      <c r="F30" s="112">
        <f>437+701</f>
        <v>1138</v>
      </c>
      <c r="G30" s="111">
        <f>238770+75442</f>
        <v>314212</v>
      </c>
      <c r="H30" s="110">
        <f>308+429</f>
        <v>737</v>
      </c>
      <c r="I30" s="109">
        <f>202110+97750</f>
        <v>299860</v>
      </c>
      <c r="J30" s="108">
        <f t="shared" si="0"/>
        <v>1768</v>
      </c>
      <c r="K30" s="107">
        <f t="shared" si="0"/>
        <v>855375</v>
      </c>
      <c r="L30" s="106"/>
    </row>
    <row r="31" spans="2:12" s="60" customFormat="1" ht="20.25" customHeight="1">
      <c r="B31" s="61">
        <v>22</v>
      </c>
      <c r="C31" s="62" t="s">
        <v>26</v>
      </c>
      <c r="D31" s="120">
        <f>'４月'!J31</f>
        <v>0</v>
      </c>
      <c r="E31" s="116">
        <f>'４月'!K31</f>
        <v>0</v>
      </c>
      <c r="F31" s="112">
        <v>0</v>
      </c>
      <c r="G31" s="111">
        <v>0</v>
      </c>
      <c r="H31" s="110">
        <v>0</v>
      </c>
      <c r="I31" s="109">
        <v>0</v>
      </c>
      <c r="J31" s="108">
        <f t="shared" si="0"/>
        <v>0</v>
      </c>
      <c r="K31" s="107">
        <f t="shared" si="0"/>
        <v>0</v>
      </c>
      <c r="L31" s="106"/>
    </row>
    <row r="32" spans="2:12" s="60" customFormat="1" ht="20.25" customHeight="1">
      <c r="B32" s="61">
        <v>23</v>
      </c>
      <c r="C32" s="62" t="s">
        <v>27</v>
      </c>
      <c r="D32" s="120">
        <f>'４月'!J32</f>
        <v>39</v>
      </c>
      <c r="E32" s="116">
        <f>'４月'!K32</f>
        <v>53582</v>
      </c>
      <c r="F32" s="112">
        <v>11</v>
      </c>
      <c r="G32" s="111">
        <v>89039</v>
      </c>
      <c r="H32" s="110">
        <v>7</v>
      </c>
      <c r="I32" s="109">
        <v>85440</v>
      </c>
      <c r="J32" s="108">
        <f t="shared" si="0"/>
        <v>43</v>
      </c>
      <c r="K32" s="107">
        <f t="shared" si="0"/>
        <v>57181</v>
      </c>
      <c r="L32" s="106"/>
    </row>
    <row r="33" spans="2:12" s="60" customFormat="1" ht="20.25" customHeight="1">
      <c r="B33" s="61">
        <v>24</v>
      </c>
      <c r="C33" s="62" t="s">
        <v>28</v>
      </c>
      <c r="D33" s="120">
        <f>'４月'!J33</f>
        <v>23180</v>
      </c>
      <c r="E33" s="116">
        <f>'４月'!K33</f>
        <v>7759586</v>
      </c>
      <c r="F33" s="112">
        <v>14233</v>
      </c>
      <c r="G33" s="111">
        <v>4063500</v>
      </c>
      <c r="H33" s="72">
        <v>13655</v>
      </c>
      <c r="I33" s="109">
        <v>3997758</v>
      </c>
      <c r="J33" s="108">
        <f t="shared" si="0"/>
        <v>23758</v>
      </c>
      <c r="K33" s="107">
        <f t="shared" si="0"/>
        <v>7825328</v>
      </c>
      <c r="L33" s="106"/>
    </row>
    <row r="34" spans="2:12" s="60" customFormat="1" ht="32.25" customHeight="1">
      <c r="B34" s="61">
        <v>25</v>
      </c>
      <c r="C34" s="62" t="s">
        <v>29</v>
      </c>
      <c r="D34" s="120">
        <f>'４月'!J34</f>
        <v>96816</v>
      </c>
      <c r="E34" s="116">
        <f>'４月'!K34</f>
        <v>6916992</v>
      </c>
      <c r="F34" s="112">
        <f>49053+292</f>
        <v>49345</v>
      </c>
      <c r="G34" s="111">
        <f>4956047+300000</f>
        <v>5256047</v>
      </c>
      <c r="H34" s="110">
        <f>47389+304</f>
        <v>47693</v>
      </c>
      <c r="I34" s="109">
        <f>4800885+278200</f>
        <v>5079085</v>
      </c>
      <c r="J34" s="108">
        <f t="shared" si="0"/>
        <v>98468</v>
      </c>
      <c r="K34" s="107">
        <f t="shared" si="0"/>
        <v>7093954</v>
      </c>
      <c r="L34" s="106"/>
    </row>
    <row r="35" spans="2:12" s="60" customFormat="1" ht="20.25" customHeight="1">
      <c r="B35" s="61">
        <v>26</v>
      </c>
      <c r="C35" s="62" t="s">
        <v>30</v>
      </c>
      <c r="D35" s="120">
        <f>'４月'!J35</f>
        <v>5306</v>
      </c>
      <c r="E35" s="116">
        <f>'４月'!K35</f>
        <v>3618673</v>
      </c>
      <c r="F35" s="112">
        <v>1077</v>
      </c>
      <c r="G35" s="111">
        <v>165618</v>
      </c>
      <c r="H35" s="110">
        <v>1239</v>
      </c>
      <c r="I35" s="109">
        <v>224874</v>
      </c>
      <c r="J35" s="108">
        <f t="shared" si="0"/>
        <v>5144</v>
      </c>
      <c r="K35" s="107">
        <f t="shared" si="0"/>
        <v>3559417</v>
      </c>
      <c r="L35" s="106"/>
    </row>
    <row r="36" spans="2:12" s="60" customFormat="1" ht="20.25" customHeight="1">
      <c r="B36" s="61">
        <v>27</v>
      </c>
      <c r="C36" s="62" t="s">
        <v>31</v>
      </c>
      <c r="D36" s="120">
        <f>'４月'!J36</f>
        <v>362</v>
      </c>
      <c r="E36" s="116">
        <f>'４月'!K36</f>
        <v>73160</v>
      </c>
      <c r="F36" s="112">
        <v>140</v>
      </c>
      <c r="G36" s="111">
        <v>57000</v>
      </c>
      <c r="H36" s="110">
        <v>219</v>
      </c>
      <c r="I36" s="109">
        <v>72840</v>
      </c>
      <c r="J36" s="108">
        <f t="shared" si="0"/>
        <v>283</v>
      </c>
      <c r="K36" s="107">
        <f t="shared" si="0"/>
        <v>57320</v>
      </c>
      <c r="L36" s="106"/>
    </row>
    <row r="37" spans="2:12" s="60" customFormat="1" ht="20.25" customHeight="1">
      <c r="B37" s="61">
        <v>28</v>
      </c>
      <c r="C37" s="62" t="s">
        <v>33</v>
      </c>
      <c r="D37" s="120">
        <f>'４月'!J37</f>
        <v>0</v>
      </c>
      <c r="E37" s="116">
        <f>'４月'!K37</f>
        <v>0</v>
      </c>
      <c r="F37" s="112">
        <v>0</v>
      </c>
      <c r="G37" s="111">
        <v>0</v>
      </c>
      <c r="H37" s="110">
        <v>0</v>
      </c>
      <c r="I37" s="109">
        <v>0</v>
      </c>
      <c r="J37" s="108">
        <f t="shared" si="0"/>
        <v>0</v>
      </c>
      <c r="K37" s="107">
        <f t="shared" si="0"/>
        <v>0</v>
      </c>
      <c r="L37" s="106"/>
    </row>
    <row r="38" spans="2:12" s="60" customFormat="1" ht="20.25" customHeight="1">
      <c r="B38" s="61">
        <v>29</v>
      </c>
      <c r="C38" s="62" t="s">
        <v>32</v>
      </c>
      <c r="D38" s="120">
        <f>'４月'!J38</f>
        <v>91</v>
      </c>
      <c r="E38" s="116">
        <f>'４月'!K38</f>
        <v>21440</v>
      </c>
      <c r="F38" s="112">
        <v>3</v>
      </c>
      <c r="G38" s="111">
        <v>960</v>
      </c>
      <c r="H38" s="110">
        <v>3</v>
      </c>
      <c r="I38" s="109">
        <v>880</v>
      </c>
      <c r="J38" s="108">
        <f t="shared" si="0"/>
        <v>91</v>
      </c>
      <c r="K38" s="107">
        <f t="shared" si="0"/>
        <v>21520</v>
      </c>
      <c r="L38" s="106"/>
    </row>
    <row r="39" spans="2:12" s="60" customFormat="1" ht="20.25" customHeight="1">
      <c r="B39" s="61">
        <v>30</v>
      </c>
      <c r="C39" s="62" t="s">
        <v>34</v>
      </c>
      <c r="D39" s="120">
        <f>'４月'!J39</f>
        <v>1204</v>
      </c>
      <c r="E39" s="116">
        <f>'４月'!K39</f>
        <v>1324400</v>
      </c>
      <c r="F39" s="112">
        <v>200</v>
      </c>
      <c r="G39" s="111">
        <v>220000</v>
      </c>
      <c r="H39" s="110">
        <v>240</v>
      </c>
      <c r="I39" s="109">
        <v>264000</v>
      </c>
      <c r="J39" s="108">
        <f t="shared" si="0"/>
        <v>1164</v>
      </c>
      <c r="K39" s="107">
        <f t="shared" si="0"/>
        <v>1280400</v>
      </c>
      <c r="L39" s="106"/>
    </row>
    <row r="40" spans="2:12" s="60" customFormat="1" ht="20.25" customHeight="1">
      <c r="B40" s="61">
        <v>31</v>
      </c>
      <c r="C40" s="62" t="s">
        <v>35</v>
      </c>
      <c r="D40" s="120">
        <f>'４月'!J40</f>
        <v>0</v>
      </c>
      <c r="E40" s="116">
        <f>'４月'!K40</f>
        <v>0</v>
      </c>
      <c r="F40" s="112">
        <v>0</v>
      </c>
      <c r="G40" s="111">
        <v>0</v>
      </c>
      <c r="H40" s="110">
        <v>0</v>
      </c>
      <c r="I40" s="109">
        <v>0</v>
      </c>
      <c r="J40" s="108">
        <f t="shared" si="0"/>
        <v>0</v>
      </c>
      <c r="K40" s="107">
        <f t="shared" si="0"/>
        <v>0</v>
      </c>
      <c r="L40" s="106"/>
    </row>
    <row r="41" spans="2:12" s="60" customFormat="1" ht="20.25" customHeight="1">
      <c r="B41" s="61">
        <v>32</v>
      </c>
      <c r="C41" s="62" t="s">
        <v>36</v>
      </c>
      <c r="D41" s="120">
        <f>'４月'!J41</f>
        <v>0</v>
      </c>
      <c r="E41" s="116">
        <f>'４月'!K41</f>
        <v>0</v>
      </c>
      <c r="F41" s="112">
        <v>0</v>
      </c>
      <c r="G41" s="111">
        <v>0</v>
      </c>
      <c r="H41" s="110">
        <v>0</v>
      </c>
      <c r="I41" s="109">
        <v>0</v>
      </c>
      <c r="J41" s="108">
        <f t="shared" si="0"/>
        <v>0</v>
      </c>
      <c r="K41" s="107">
        <f t="shared" si="0"/>
        <v>0</v>
      </c>
      <c r="L41" s="106"/>
    </row>
    <row r="42" spans="2:12" s="60" customFormat="1" ht="20.25" customHeight="1">
      <c r="B42" s="61">
        <v>33</v>
      </c>
      <c r="C42" s="62" t="s">
        <v>37</v>
      </c>
      <c r="D42" s="120">
        <f>'４月'!J42</f>
        <v>49368</v>
      </c>
      <c r="E42" s="116">
        <f>'４月'!K42</f>
        <v>8714606</v>
      </c>
      <c r="F42" s="112">
        <v>18856</v>
      </c>
      <c r="G42" s="111">
        <v>5690866</v>
      </c>
      <c r="H42" s="110">
        <v>17501</v>
      </c>
      <c r="I42" s="109">
        <v>5073250</v>
      </c>
      <c r="J42" s="108">
        <f t="shared" si="0"/>
        <v>50723</v>
      </c>
      <c r="K42" s="107">
        <f t="shared" si="0"/>
        <v>9332222</v>
      </c>
      <c r="L42" s="106"/>
    </row>
    <row r="43" spans="2:12" s="60" customFormat="1" ht="33" customHeight="1">
      <c r="B43" s="61">
        <v>34</v>
      </c>
      <c r="C43" s="62" t="s">
        <v>38</v>
      </c>
      <c r="D43" s="120">
        <f>'４月'!J43</f>
        <v>7440</v>
      </c>
      <c r="E43" s="116">
        <f>'４月'!K43</f>
        <v>11573347</v>
      </c>
      <c r="F43" s="112">
        <v>9361</v>
      </c>
      <c r="G43" s="111">
        <v>12400791</v>
      </c>
      <c r="H43" s="110">
        <v>9151</v>
      </c>
      <c r="I43" s="109">
        <v>10880050</v>
      </c>
      <c r="J43" s="108">
        <f t="shared" si="0"/>
        <v>7650</v>
      </c>
      <c r="K43" s="107">
        <f t="shared" si="0"/>
        <v>13094088</v>
      </c>
      <c r="L43" s="106"/>
    </row>
    <row r="44" spans="2:12" s="60" customFormat="1" ht="20.25" customHeight="1">
      <c r="B44" s="61">
        <v>35</v>
      </c>
      <c r="C44" s="62" t="s">
        <v>39</v>
      </c>
      <c r="D44" s="120">
        <f>'４月'!J44</f>
        <v>28</v>
      </c>
      <c r="E44" s="116">
        <f>'４月'!K44</f>
        <v>127140</v>
      </c>
      <c r="F44" s="112">
        <v>11</v>
      </c>
      <c r="G44" s="111">
        <v>15001</v>
      </c>
      <c r="H44" s="110">
        <v>6</v>
      </c>
      <c r="I44" s="109">
        <v>7591</v>
      </c>
      <c r="J44" s="108">
        <f t="shared" si="0"/>
        <v>33</v>
      </c>
      <c r="K44" s="107">
        <f t="shared" si="0"/>
        <v>134550</v>
      </c>
      <c r="L44" s="106"/>
    </row>
    <row r="45" spans="2:12" s="60" customFormat="1" ht="20.25" customHeight="1">
      <c r="B45" s="61">
        <v>36</v>
      </c>
      <c r="C45" s="62" t="s">
        <v>40</v>
      </c>
      <c r="D45" s="120">
        <f>'４月'!J45</f>
        <v>5524</v>
      </c>
      <c r="E45" s="116">
        <f>'４月'!K45</f>
        <v>2897400</v>
      </c>
      <c r="F45" s="112">
        <v>4486</v>
      </c>
      <c r="G45" s="137">
        <v>2001445</v>
      </c>
      <c r="H45" s="110">
        <v>4375</v>
      </c>
      <c r="I45" s="109">
        <v>2156453</v>
      </c>
      <c r="J45" s="108">
        <f t="shared" si="0"/>
        <v>5635</v>
      </c>
      <c r="K45" s="107">
        <f t="shared" si="0"/>
        <v>2742392</v>
      </c>
      <c r="L45" s="106"/>
    </row>
    <row r="46" spans="2:12" ht="20.25" customHeight="1">
      <c r="B46" s="21">
        <v>37</v>
      </c>
      <c r="C46" s="22" t="s">
        <v>41</v>
      </c>
      <c r="D46" s="120">
        <f>'４月'!J46</f>
        <v>10862</v>
      </c>
      <c r="E46" s="116">
        <f>'４月'!K46</f>
        <v>2376337</v>
      </c>
      <c r="F46" s="105">
        <v>3161</v>
      </c>
      <c r="G46" s="104">
        <v>627557</v>
      </c>
      <c r="H46" s="103">
        <v>6664</v>
      </c>
      <c r="I46" s="102">
        <v>450126</v>
      </c>
      <c r="J46" s="101">
        <f t="shared" si="0"/>
        <v>7359</v>
      </c>
      <c r="K46" s="100">
        <f t="shared" si="0"/>
        <v>2553768</v>
      </c>
      <c r="L46" s="99"/>
    </row>
    <row r="47" spans="2:12" ht="32.25" customHeight="1">
      <c r="B47" s="21">
        <v>38</v>
      </c>
      <c r="C47" s="22" t="s">
        <v>42</v>
      </c>
      <c r="D47" s="120">
        <f>'４月'!J47</f>
        <v>2996</v>
      </c>
      <c r="E47" s="116">
        <f>'４月'!K47</f>
        <v>1843550</v>
      </c>
      <c r="F47" s="105">
        <v>594</v>
      </c>
      <c r="G47" s="104">
        <v>325278</v>
      </c>
      <c r="H47" s="103">
        <v>600</v>
      </c>
      <c r="I47" s="102">
        <v>334759</v>
      </c>
      <c r="J47" s="101">
        <f t="shared" si="0"/>
        <v>2990</v>
      </c>
      <c r="K47" s="100">
        <f t="shared" si="0"/>
        <v>1834069</v>
      </c>
      <c r="L47" s="99"/>
    </row>
    <row r="48" spans="2:12" ht="20.25" customHeight="1">
      <c r="B48" s="21">
        <v>39</v>
      </c>
      <c r="C48" s="22" t="s">
        <v>43</v>
      </c>
      <c r="D48" s="120">
        <f>'４月'!J48</f>
        <v>0</v>
      </c>
      <c r="E48" s="116">
        <f>'４月'!K48</f>
        <v>0</v>
      </c>
      <c r="F48" s="105">
        <v>0</v>
      </c>
      <c r="G48" s="104">
        <v>0</v>
      </c>
      <c r="H48" s="103">
        <v>0</v>
      </c>
      <c r="I48" s="102">
        <v>0</v>
      </c>
      <c r="J48" s="101">
        <f t="shared" si="0"/>
        <v>0</v>
      </c>
      <c r="K48" s="100">
        <f t="shared" si="0"/>
        <v>0</v>
      </c>
      <c r="L48" s="99"/>
    </row>
    <row r="49" spans="2:12" ht="20.25" customHeight="1" thickBot="1">
      <c r="B49" s="23">
        <v>40</v>
      </c>
      <c r="C49" s="24" t="s">
        <v>50</v>
      </c>
      <c r="D49" s="120">
        <f>'４月'!J49</f>
        <v>8022</v>
      </c>
      <c r="E49" s="116">
        <f>'４月'!K49</f>
        <v>2398792</v>
      </c>
      <c r="F49" s="98">
        <v>4542</v>
      </c>
      <c r="G49" s="97">
        <v>1343153</v>
      </c>
      <c r="H49" s="96">
        <v>5778</v>
      </c>
      <c r="I49" s="95">
        <v>1529930</v>
      </c>
      <c r="J49" s="94">
        <f t="shared" si="0"/>
        <v>6786</v>
      </c>
      <c r="K49" s="93">
        <f t="shared" si="0"/>
        <v>2212015</v>
      </c>
      <c r="L49" s="92"/>
    </row>
    <row r="50" spans="2:12" ht="21" customHeight="1" thickBot="1" thickTop="1">
      <c r="B50" s="140" t="s">
        <v>46</v>
      </c>
      <c r="C50" s="141"/>
      <c r="D50" s="91">
        <f aca="true" t="shared" si="1" ref="D50:I50">SUM(D10:D49)</f>
        <v>315279</v>
      </c>
      <c r="E50" s="90">
        <f t="shared" si="1"/>
        <v>79123080</v>
      </c>
      <c r="F50" s="89">
        <f t="shared" si="1"/>
        <v>131802</v>
      </c>
      <c r="G50" s="87">
        <f t="shared" si="1"/>
        <v>40621587</v>
      </c>
      <c r="H50" s="89">
        <f t="shared" si="1"/>
        <v>128515</v>
      </c>
      <c r="I50" s="87">
        <f t="shared" si="1"/>
        <v>37467554</v>
      </c>
      <c r="J50" s="88">
        <f t="shared" si="0"/>
        <v>318566</v>
      </c>
      <c r="K50" s="87">
        <f t="shared" si="0"/>
        <v>82277113</v>
      </c>
      <c r="L50" s="86"/>
    </row>
    <row r="51" spans="10:11" ht="13.5">
      <c r="J51" s="85"/>
      <c r="K51" s="85"/>
    </row>
    <row r="52" spans="10:11" ht="13.5">
      <c r="J52" s="84"/>
      <c r="K52" s="84"/>
    </row>
    <row r="53" spans="10:11" ht="13.5">
      <c r="J53" s="77"/>
      <c r="K53" s="77"/>
    </row>
    <row r="55" spans="4:11" ht="13.5">
      <c r="D55" s="75"/>
      <c r="E55" s="75"/>
      <c r="F55" s="75"/>
      <c r="G55" s="75"/>
      <c r="H55" s="75"/>
      <c r="I55" s="75"/>
      <c r="J55" s="82"/>
      <c r="K55" s="82"/>
    </row>
    <row r="56" spans="4:11" ht="13.5">
      <c r="D56" s="75"/>
      <c r="E56" s="75"/>
      <c r="F56" s="75"/>
      <c r="G56" s="75"/>
      <c r="H56" s="75"/>
      <c r="I56" s="75"/>
      <c r="J56" s="82"/>
      <c r="K56" s="82"/>
    </row>
    <row r="57" spans="4:11" ht="13.5">
      <c r="D57" s="80"/>
      <c r="E57" s="80"/>
      <c r="F57" s="80"/>
      <c r="G57" s="80"/>
      <c r="H57" s="80"/>
      <c r="I57" s="80"/>
      <c r="J57" s="80"/>
      <c r="K57" s="80"/>
    </row>
    <row r="58" spans="4:11" ht="13.5">
      <c r="D58" s="80"/>
      <c r="E58" s="80"/>
      <c r="F58" s="80"/>
      <c r="G58" s="80"/>
      <c r="H58" s="80"/>
      <c r="I58" s="80"/>
      <c r="J58" s="80"/>
      <c r="K58" s="80"/>
    </row>
    <row r="59" spans="4:11" ht="13.5">
      <c r="D59" s="80"/>
      <c r="E59" s="80"/>
      <c r="F59" s="80"/>
      <c r="G59" s="80"/>
      <c r="H59" s="80"/>
      <c r="I59" s="80"/>
      <c r="J59" s="83"/>
      <c r="K59" s="83"/>
    </row>
    <row r="60" spans="4:11" ht="13.5">
      <c r="D60" s="80"/>
      <c r="E60" s="80"/>
      <c r="F60" s="80"/>
      <c r="G60" s="80"/>
      <c r="H60" s="80"/>
      <c r="I60" s="80"/>
      <c r="J60" s="83"/>
      <c r="K60" s="83"/>
    </row>
    <row r="61" spans="4:11" ht="13.5">
      <c r="D61" s="80"/>
      <c r="E61" s="80"/>
      <c r="F61" s="80"/>
      <c r="G61" s="80"/>
      <c r="H61" s="80"/>
      <c r="I61" s="80"/>
      <c r="J61" s="80"/>
      <c r="K61" s="80"/>
    </row>
    <row r="62" spans="4:11" ht="13.5">
      <c r="D62" s="75"/>
      <c r="E62" s="75"/>
      <c r="F62" s="75"/>
      <c r="G62" s="75"/>
      <c r="H62" s="75"/>
      <c r="I62" s="75"/>
      <c r="J62" s="75"/>
      <c r="K62" s="75"/>
    </row>
    <row r="63" spans="4:11" ht="13.5">
      <c r="D63" s="75"/>
      <c r="E63" s="75"/>
      <c r="F63" s="75"/>
      <c r="G63" s="75"/>
      <c r="H63" s="75"/>
      <c r="I63" s="75"/>
      <c r="J63" s="82"/>
      <c r="K63" s="82"/>
    </row>
    <row r="64" spans="4:11" ht="13.5">
      <c r="D64" s="75"/>
      <c r="E64" s="75"/>
      <c r="F64" s="75"/>
      <c r="G64" s="75"/>
      <c r="H64" s="75"/>
      <c r="I64" s="75"/>
      <c r="J64" s="82"/>
      <c r="K64" s="82"/>
    </row>
    <row r="65" spans="4:11" ht="13.5">
      <c r="D65" s="75"/>
      <c r="E65" s="75"/>
      <c r="F65" s="75"/>
      <c r="G65" s="75"/>
      <c r="H65" s="75"/>
      <c r="I65" s="75"/>
      <c r="J65" s="75"/>
      <c r="K65" s="75"/>
    </row>
  </sheetData>
  <sheetProtection/>
  <mergeCells count="9">
    <mergeCell ref="B50:C50"/>
    <mergeCell ref="B2:L2"/>
    <mergeCell ref="J4:L4"/>
    <mergeCell ref="J5:L5"/>
    <mergeCell ref="D7:E7"/>
    <mergeCell ref="F7:G7"/>
    <mergeCell ref="H7:I7"/>
    <mergeCell ref="J7:K7"/>
    <mergeCell ref="L7:L9"/>
  </mergeCells>
  <printOptions horizontalCentered="1"/>
  <pageMargins left="0.3937007874015748" right="0.3937007874015748" top="0.5905511811023623" bottom="0.3937007874015748" header="0" footer="0"/>
  <pageSetup fitToHeight="1" fitToWidth="1" horizontalDpi="300" verticalDpi="300" orientation="portrait" paperSize="9" scale="8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65"/>
  <sheetViews>
    <sheetView zoomScalePageLayoutView="0" workbookViewId="0" topLeftCell="A2">
      <pane xSplit="5" ySplit="8" topLeftCell="F43" activePane="bottomRight" state="frozen"/>
      <selection pane="topLeft" activeCell="A2" sqref="A2"/>
      <selection pane="topRight" activeCell="F2" sqref="F2"/>
      <selection pane="bottomLeft" activeCell="A10" sqref="A10"/>
      <selection pane="bottomRight" activeCell="E50" sqref="E50"/>
    </sheetView>
  </sheetViews>
  <sheetFormatPr defaultColWidth="9.00390625" defaultRowHeight="13.5"/>
  <cols>
    <col min="1" max="1" width="4.375" style="1" customWidth="1"/>
    <col min="2" max="2" width="3.375" style="1" customWidth="1"/>
    <col min="3" max="3" width="15.125" style="1" customWidth="1"/>
    <col min="4" max="4" width="10.00390625" style="1" customWidth="1"/>
    <col min="5" max="5" width="11.25390625" style="1" customWidth="1"/>
    <col min="6" max="6" width="10.00390625" style="1" customWidth="1"/>
    <col min="7" max="7" width="11.25390625" style="1" customWidth="1"/>
    <col min="8" max="8" width="10.00390625" style="1" customWidth="1"/>
    <col min="9" max="9" width="11.25390625" style="1" customWidth="1"/>
    <col min="10" max="10" width="10.00390625" style="1" customWidth="1"/>
    <col min="11" max="11" width="11.25390625" style="1" customWidth="1"/>
    <col min="12" max="12" width="9.375" style="1" customWidth="1"/>
    <col min="13" max="13" width="4.00390625" style="1" customWidth="1"/>
    <col min="14" max="16384" width="9.00390625" style="1" customWidth="1"/>
  </cols>
  <sheetData>
    <row r="2" spans="2:12" ht="18.75" customHeight="1">
      <c r="B2" s="142" t="s">
        <v>47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2:12" ht="15" customHeight="1">
      <c r="B3" s="28" t="str">
        <f>'１月'!$B$3</f>
        <v>平成２８年</v>
      </c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2:12" ht="18" customHeight="1">
      <c r="B4" s="27"/>
      <c r="C4" s="54" t="s">
        <v>67</v>
      </c>
      <c r="E4" s="28" t="s">
        <v>54</v>
      </c>
      <c r="I4" s="121" t="s">
        <v>52</v>
      </c>
      <c r="J4" s="152" t="s">
        <v>57</v>
      </c>
      <c r="K4" s="152"/>
      <c r="L4" s="152"/>
    </row>
    <row r="5" spans="3:12" ht="18" customHeight="1">
      <c r="C5" s="1" t="s">
        <v>59</v>
      </c>
      <c r="I5" s="2" t="s">
        <v>53</v>
      </c>
      <c r="J5" s="148"/>
      <c r="K5" s="148"/>
      <c r="L5" s="148"/>
    </row>
    <row r="6" spans="5:12" ht="18" customHeight="1" thickBot="1">
      <c r="E6" s="1" t="s">
        <v>58</v>
      </c>
      <c r="I6" s="2"/>
      <c r="J6" s="55"/>
      <c r="K6" s="55"/>
      <c r="L6" s="55"/>
    </row>
    <row r="7" spans="2:12" ht="18.75" customHeight="1">
      <c r="B7" s="3"/>
      <c r="C7" s="4" t="s">
        <v>48</v>
      </c>
      <c r="D7" s="143" t="s">
        <v>0</v>
      </c>
      <c r="E7" s="144"/>
      <c r="F7" s="145" t="s">
        <v>1</v>
      </c>
      <c r="G7" s="146"/>
      <c r="H7" s="144" t="s">
        <v>2</v>
      </c>
      <c r="I7" s="144"/>
      <c r="J7" s="145" t="s">
        <v>3</v>
      </c>
      <c r="K7" s="146"/>
      <c r="L7" s="149" t="s">
        <v>4</v>
      </c>
    </row>
    <row r="8" spans="2:12" ht="18.75" customHeight="1">
      <c r="B8" s="5"/>
      <c r="C8" s="6"/>
      <c r="D8" s="7" t="s">
        <v>44</v>
      </c>
      <c r="E8" s="8" t="s">
        <v>45</v>
      </c>
      <c r="F8" s="9" t="s">
        <v>44</v>
      </c>
      <c r="G8" s="10" t="s">
        <v>45</v>
      </c>
      <c r="H8" s="11" t="s">
        <v>44</v>
      </c>
      <c r="I8" s="8" t="s">
        <v>45</v>
      </c>
      <c r="J8" s="9" t="s">
        <v>44</v>
      </c>
      <c r="K8" s="10" t="s">
        <v>45</v>
      </c>
      <c r="L8" s="150"/>
    </row>
    <row r="9" spans="2:12" ht="18.75" customHeight="1" thickBot="1">
      <c r="B9" s="12" t="s">
        <v>49</v>
      </c>
      <c r="C9" s="13"/>
      <c r="D9" s="14" t="s">
        <v>55</v>
      </c>
      <c r="E9" s="15" t="s">
        <v>5</v>
      </c>
      <c r="F9" s="16" t="s">
        <v>55</v>
      </c>
      <c r="G9" s="17" t="s">
        <v>5</v>
      </c>
      <c r="H9" s="18" t="s">
        <v>55</v>
      </c>
      <c r="I9" s="15" t="s">
        <v>5</v>
      </c>
      <c r="J9" s="16" t="s">
        <v>55</v>
      </c>
      <c r="K9" s="17" t="s">
        <v>5</v>
      </c>
      <c r="L9" s="151"/>
    </row>
    <row r="10" spans="2:14" ht="20.25" customHeight="1" thickTop="1">
      <c r="B10" s="19">
        <v>1</v>
      </c>
      <c r="C10" s="20" t="s">
        <v>6</v>
      </c>
      <c r="D10" s="120">
        <f>'５月'!J10</f>
        <v>36294</v>
      </c>
      <c r="E10" s="116">
        <f>'５月'!K10</f>
        <v>9236897</v>
      </c>
      <c r="F10" s="119">
        <v>3559</v>
      </c>
      <c r="G10" s="118">
        <v>587969</v>
      </c>
      <c r="H10" s="117">
        <v>2750</v>
      </c>
      <c r="I10" s="116">
        <v>384543</v>
      </c>
      <c r="J10" s="115">
        <f aca="true" t="shared" si="0" ref="J10:K50">D10+F10-H10</f>
        <v>37103</v>
      </c>
      <c r="K10" s="114">
        <f t="shared" si="0"/>
        <v>9440323</v>
      </c>
      <c r="L10" s="113"/>
      <c r="N10" s="60"/>
    </row>
    <row r="11" spans="2:12" ht="20.25" customHeight="1">
      <c r="B11" s="21">
        <v>2</v>
      </c>
      <c r="C11" s="22" t="s">
        <v>7</v>
      </c>
      <c r="D11" s="120">
        <f>'５月'!J11</f>
        <v>70</v>
      </c>
      <c r="E11" s="116">
        <f>'５月'!K11</f>
        <v>3716</v>
      </c>
      <c r="F11" s="105">
        <v>0</v>
      </c>
      <c r="G11" s="104">
        <v>0</v>
      </c>
      <c r="H11" s="103">
        <v>31</v>
      </c>
      <c r="I11" s="102">
        <v>1550</v>
      </c>
      <c r="J11" s="101">
        <f t="shared" si="0"/>
        <v>39</v>
      </c>
      <c r="K11" s="100">
        <f t="shared" si="0"/>
        <v>2166</v>
      </c>
      <c r="L11" s="99"/>
    </row>
    <row r="12" spans="2:12" ht="20.25" customHeight="1">
      <c r="B12" s="21">
        <v>3</v>
      </c>
      <c r="C12" s="22" t="s">
        <v>8</v>
      </c>
      <c r="D12" s="120">
        <f>'５月'!J12</f>
        <v>0</v>
      </c>
      <c r="E12" s="116">
        <f>'５月'!K12</f>
        <v>0</v>
      </c>
      <c r="F12" s="105">
        <v>0</v>
      </c>
      <c r="G12" s="104">
        <v>0</v>
      </c>
      <c r="H12" s="103">
        <v>0</v>
      </c>
      <c r="I12" s="102">
        <v>0</v>
      </c>
      <c r="J12" s="101">
        <f t="shared" si="0"/>
        <v>0</v>
      </c>
      <c r="K12" s="100">
        <f t="shared" si="0"/>
        <v>0</v>
      </c>
      <c r="L12" s="99"/>
    </row>
    <row r="13" spans="2:12" ht="20.25" customHeight="1">
      <c r="B13" s="21">
        <v>4</v>
      </c>
      <c r="C13" s="22" t="s">
        <v>9</v>
      </c>
      <c r="D13" s="120">
        <f>'５月'!J13</f>
        <v>969</v>
      </c>
      <c r="E13" s="116">
        <f>'５月'!K13</f>
        <v>142578</v>
      </c>
      <c r="F13" s="105">
        <v>374</v>
      </c>
      <c r="G13" s="104">
        <v>44738</v>
      </c>
      <c r="H13" s="103">
        <v>183</v>
      </c>
      <c r="I13" s="102">
        <v>28646</v>
      </c>
      <c r="J13" s="101">
        <f t="shared" si="0"/>
        <v>1160</v>
      </c>
      <c r="K13" s="100">
        <f t="shared" si="0"/>
        <v>158670</v>
      </c>
      <c r="L13" s="99"/>
    </row>
    <row r="14" spans="2:12" ht="20.25" customHeight="1">
      <c r="B14" s="21">
        <v>5</v>
      </c>
      <c r="C14" s="22" t="s">
        <v>10</v>
      </c>
      <c r="D14" s="120">
        <f>'５月'!J14</f>
        <v>0</v>
      </c>
      <c r="E14" s="116">
        <f>'５月'!K14</f>
        <v>0</v>
      </c>
      <c r="F14" s="105">
        <v>0</v>
      </c>
      <c r="G14" s="104">
        <v>0</v>
      </c>
      <c r="H14" s="103">
        <v>0</v>
      </c>
      <c r="I14" s="102">
        <v>0</v>
      </c>
      <c r="J14" s="101">
        <f t="shared" si="0"/>
        <v>0</v>
      </c>
      <c r="K14" s="100">
        <f t="shared" si="0"/>
        <v>0</v>
      </c>
      <c r="L14" s="99"/>
    </row>
    <row r="15" spans="2:12" ht="20.25" customHeight="1">
      <c r="B15" s="21">
        <v>6</v>
      </c>
      <c r="C15" s="22" t="s">
        <v>11</v>
      </c>
      <c r="D15" s="120">
        <f>'５月'!J15</f>
        <v>0</v>
      </c>
      <c r="E15" s="116">
        <f>'５月'!K15</f>
        <v>0</v>
      </c>
      <c r="F15" s="105">
        <v>0</v>
      </c>
      <c r="G15" s="104">
        <v>0</v>
      </c>
      <c r="H15" s="103">
        <v>0</v>
      </c>
      <c r="I15" s="102">
        <v>0</v>
      </c>
      <c r="J15" s="101">
        <f t="shared" si="0"/>
        <v>0</v>
      </c>
      <c r="K15" s="100">
        <f t="shared" si="0"/>
        <v>0</v>
      </c>
      <c r="L15" s="99"/>
    </row>
    <row r="16" spans="2:12" ht="20.25" customHeight="1">
      <c r="B16" s="21">
        <v>7</v>
      </c>
      <c r="C16" s="22" t="s">
        <v>12</v>
      </c>
      <c r="D16" s="120">
        <f>'５月'!J16</f>
        <v>0</v>
      </c>
      <c r="E16" s="116">
        <f>'５月'!K16</f>
        <v>0</v>
      </c>
      <c r="F16" s="105">
        <v>0</v>
      </c>
      <c r="G16" s="104">
        <v>0</v>
      </c>
      <c r="H16" s="103">
        <v>0</v>
      </c>
      <c r="I16" s="102">
        <v>0</v>
      </c>
      <c r="J16" s="101">
        <f t="shared" si="0"/>
        <v>0</v>
      </c>
      <c r="K16" s="100">
        <f t="shared" si="0"/>
        <v>0</v>
      </c>
      <c r="L16" s="99"/>
    </row>
    <row r="17" spans="2:12" ht="20.25" customHeight="1">
      <c r="B17" s="21">
        <v>8</v>
      </c>
      <c r="C17" s="22" t="s">
        <v>13</v>
      </c>
      <c r="D17" s="120">
        <f>'５月'!J17</f>
        <v>0</v>
      </c>
      <c r="E17" s="116">
        <f>'５月'!K17</f>
        <v>0</v>
      </c>
      <c r="F17" s="105">
        <v>0</v>
      </c>
      <c r="G17" s="104">
        <v>0</v>
      </c>
      <c r="H17" s="103">
        <v>0</v>
      </c>
      <c r="I17" s="102">
        <v>0</v>
      </c>
      <c r="J17" s="101">
        <f t="shared" si="0"/>
        <v>0</v>
      </c>
      <c r="K17" s="100">
        <f t="shared" si="0"/>
        <v>0</v>
      </c>
      <c r="L17" s="99"/>
    </row>
    <row r="18" spans="2:12" ht="20.25" customHeight="1">
      <c r="B18" s="21">
        <v>9</v>
      </c>
      <c r="C18" s="22" t="s">
        <v>14</v>
      </c>
      <c r="D18" s="120">
        <f>'５月'!J18</f>
        <v>46</v>
      </c>
      <c r="E18" s="116">
        <f>'５月'!K18</f>
        <v>7554</v>
      </c>
      <c r="F18" s="105">
        <v>72</v>
      </c>
      <c r="G18" s="104">
        <v>6840</v>
      </c>
      <c r="H18" s="103">
        <v>73</v>
      </c>
      <c r="I18" s="102">
        <v>7490</v>
      </c>
      <c r="J18" s="101">
        <f t="shared" si="0"/>
        <v>45</v>
      </c>
      <c r="K18" s="100">
        <f t="shared" si="0"/>
        <v>6904</v>
      </c>
      <c r="L18" s="99"/>
    </row>
    <row r="19" spans="2:12" ht="20.25" customHeight="1">
      <c r="B19" s="21">
        <v>10</v>
      </c>
      <c r="C19" s="22" t="s">
        <v>15</v>
      </c>
      <c r="D19" s="120">
        <f>'５月'!J19</f>
        <v>0</v>
      </c>
      <c r="E19" s="116">
        <f>'５月'!K19</f>
        <v>0</v>
      </c>
      <c r="F19" s="105">
        <v>0</v>
      </c>
      <c r="G19" s="104">
        <v>0</v>
      </c>
      <c r="H19" s="103">
        <v>0</v>
      </c>
      <c r="I19" s="102">
        <v>0</v>
      </c>
      <c r="J19" s="101">
        <f t="shared" si="0"/>
        <v>0</v>
      </c>
      <c r="K19" s="100">
        <f t="shared" si="0"/>
        <v>0</v>
      </c>
      <c r="L19" s="99"/>
    </row>
    <row r="20" spans="2:12" ht="20.25" customHeight="1">
      <c r="B20" s="21">
        <v>11</v>
      </c>
      <c r="C20" s="22" t="s">
        <v>16</v>
      </c>
      <c r="D20" s="120">
        <f>'５月'!J20</f>
        <v>7</v>
      </c>
      <c r="E20" s="116">
        <f>'５月'!K20</f>
        <v>312</v>
      </c>
      <c r="F20" s="105">
        <v>829</v>
      </c>
      <c r="G20" s="104">
        <v>40095</v>
      </c>
      <c r="H20" s="103">
        <v>597</v>
      </c>
      <c r="I20" s="102">
        <v>28884</v>
      </c>
      <c r="J20" s="101">
        <f t="shared" si="0"/>
        <v>239</v>
      </c>
      <c r="K20" s="100">
        <f t="shared" si="0"/>
        <v>11523</v>
      </c>
      <c r="L20" s="99"/>
    </row>
    <row r="21" spans="2:12" ht="20.25" customHeight="1">
      <c r="B21" s="21">
        <v>12</v>
      </c>
      <c r="C21" s="22" t="s">
        <v>17</v>
      </c>
      <c r="D21" s="120">
        <f>'５月'!J21</f>
        <v>0</v>
      </c>
      <c r="E21" s="116">
        <f>'５月'!K21</f>
        <v>0</v>
      </c>
      <c r="F21" s="105">
        <v>0</v>
      </c>
      <c r="G21" s="104">
        <v>0</v>
      </c>
      <c r="H21" s="103">
        <v>0</v>
      </c>
      <c r="I21" s="102">
        <v>0</v>
      </c>
      <c r="J21" s="101">
        <f t="shared" si="0"/>
        <v>0</v>
      </c>
      <c r="K21" s="100">
        <f t="shared" si="0"/>
        <v>0</v>
      </c>
      <c r="L21" s="99"/>
    </row>
    <row r="22" spans="2:12" ht="20.25" customHeight="1">
      <c r="B22" s="21">
        <v>13</v>
      </c>
      <c r="C22" s="22" t="s">
        <v>18</v>
      </c>
      <c r="D22" s="120">
        <f>'５月'!J22</f>
        <v>8929</v>
      </c>
      <c r="E22" s="116">
        <f>'５月'!K22</f>
        <v>1199860</v>
      </c>
      <c r="F22" s="105">
        <v>1997</v>
      </c>
      <c r="G22" s="104">
        <v>290060</v>
      </c>
      <c r="H22" s="103">
        <v>3075</v>
      </c>
      <c r="I22" s="102">
        <v>401820</v>
      </c>
      <c r="J22" s="101">
        <f t="shared" si="0"/>
        <v>7851</v>
      </c>
      <c r="K22" s="100">
        <f t="shared" si="0"/>
        <v>1088100</v>
      </c>
      <c r="L22" s="99"/>
    </row>
    <row r="23" spans="2:12" s="60" customFormat="1" ht="20.25" customHeight="1">
      <c r="B23" s="61">
        <v>14</v>
      </c>
      <c r="C23" s="62" t="s">
        <v>19</v>
      </c>
      <c r="D23" s="120">
        <f>'５月'!J23</f>
        <v>3070</v>
      </c>
      <c r="E23" s="116">
        <f>'５月'!K23</f>
        <v>2406266</v>
      </c>
      <c r="F23" s="112">
        <v>1352</v>
      </c>
      <c r="G23" s="111">
        <v>1702600</v>
      </c>
      <c r="H23" s="110">
        <v>1371</v>
      </c>
      <c r="I23" s="109">
        <v>1677654</v>
      </c>
      <c r="J23" s="108">
        <f t="shared" si="0"/>
        <v>3051</v>
      </c>
      <c r="K23" s="107">
        <f t="shared" si="0"/>
        <v>2431212</v>
      </c>
      <c r="L23" s="106"/>
    </row>
    <row r="24" spans="2:12" ht="20.25" customHeight="1">
      <c r="B24" s="21">
        <v>15</v>
      </c>
      <c r="C24" s="22" t="s">
        <v>20</v>
      </c>
      <c r="D24" s="120">
        <f>'５月'!J24</f>
        <v>25863</v>
      </c>
      <c r="E24" s="116">
        <f>'５月'!K24</f>
        <v>3670083</v>
      </c>
      <c r="F24" s="105">
        <v>1208</v>
      </c>
      <c r="G24" s="104">
        <v>829866</v>
      </c>
      <c r="H24" s="103">
        <v>1414</v>
      </c>
      <c r="I24" s="102">
        <v>1352747</v>
      </c>
      <c r="J24" s="101">
        <f t="shared" si="0"/>
        <v>25657</v>
      </c>
      <c r="K24" s="100">
        <f t="shared" si="0"/>
        <v>3147202</v>
      </c>
      <c r="L24" s="99"/>
    </row>
    <row r="25" spans="2:12" ht="20.25" customHeight="1">
      <c r="B25" s="21">
        <v>16</v>
      </c>
      <c r="C25" s="22" t="s">
        <v>21</v>
      </c>
      <c r="D25" s="120">
        <f>'５月'!J25</f>
        <v>8689</v>
      </c>
      <c r="E25" s="116">
        <f>'５月'!K25</f>
        <v>5889923</v>
      </c>
      <c r="F25" s="105">
        <v>6179</v>
      </c>
      <c r="G25" s="104">
        <v>1409247</v>
      </c>
      <c r="H25" s="103">
        <v>4241</v>
      </c>
      <c r="I25" s="102">
        <v>1041657</v>
      </c>
      <c r="J25" s="101">
        <f t="shared" si="0"/>
        <v>10627</v>
      </c>
      <c r="K25" s="100">
        <f t="shared" si="0"/>
        <v>6257513</v>
      </c>
      <c r="L25" s="99"/>
    </row>
    <row r="26" spans="2:12" ht="20.25" customHeight="1">
      <c r="B26" s="21">
        <v>17</v>
      </c>
      <c r="C26" s="22" t="s">
        <v>22</v>
      </c>
      <c r="D26" s="120">
        <f>'５月'!J26</f>
        <v>18972</v>
      </c>
      <c r="E26" s="116">
        <f>'５月'!K26</f>
        <v>6350298</v>
      </c>
      <c r="F26" s="105">
        <v>11762</v>
      </c>
      <c r="G26" s="104">
        <v>1691959</v>
      </c>
      <c r="H26" s="103">
        <v>8706</v>
      </c>
      <c r="I26" s="102">
        <v>1464857</v>
      </c>
      <c r="J26" s="101">
        <f t="shared" si="0"/>
        <v>22028</v>
      </c>
      <c r="K26" s="100">
        <f t="shared" si="0"/>
        <v>6577400</v>
      </c>
      <c r="L26" s="99"/>
    </row>
    <row r="27" spans="2:12" ht="20.25" customHeight="1">
      <c r="B27" s="21">
        <v>18</v>
      </c>
      <c r="C27" s="22" t="s">
        <v>51</v>
      </c>
      <c r="D27" s="120">
        <f>'５月'!J27</f>
        <v>2021</v>
      </c>
      <c r="E27" s="116">
        <f>'５月'!K27</f>
        <v>325100</v>
      </c>
      <c r="F27" s="105">
        <v>327</v>
      </c>
      <c r="G27" s="104">
        <v>84700</v>
      </c>
      <c r="H27" s="103">
        <v>272</v>
      </c>
      <c r="I27" s="102">
        <v>72750</v>
      </c>
      <c r="J27" s="101">
        <f t="shared" si="0"/>
        <v>2076</v>
      </c>
      <c r="K27" s="100">
        <f t="shared" si="0"/>
        <v>337050</v>
      </c>
      <c r="L27" s="99"/>
    </row>
    <row r="28" spans="2:12" ht="20.25" customHeight="1">
      <c r="B28" s="21">
        <v>19</v>
      </c>
      <c r="C28" s="22" t="s">
        <v>23</v>
      </c>
      <c r="D28" s="120">
        <f>'５月'!J28</f>
        <v>660</v>
      </c>
      <c r="E28" s="116">
        <f>'５月'!K28</f>
        <v>72600</v>
      </c>
      <c r="F28" s="105">
        <v>900</v>
      </c>
      <c r="G28" s="104">
        <v>99000</v>
      </c>
      <c r="H28" s="103">
        <v>810</v>
      </c>
      <c r="I28" s="102">
        <v>89100</v>
      </c>
      <c r="J28" s="101">
        <f t="shared" si="0"/>
        <v>750</v>
      </c>
      <c r="K28" s="100">
        <f t="shared" si="0"/>
        <v>82500</v>
      </c>
      <c r="L28" s="99"/>
    </row>
    <row r="29" spans="2:12" s="60" customFormat="1" ht="20.25" customHeight="1">
      <c r="B29" s="61">
        <v>20</v>
      </c>
      <c r="C29" s="62" t="s">
        <v>24</v>
      </c>
      <c r="D29" s="120">
        <f>'５月'!J29</f>
        <v>1081</v>
      </c>
      <c r="E29" s="116">
        <f>'５月'!K29</f>
        <v>318327</v>
      </c>
      <c r="F29" s="74">
        <f>20+56</f>
        <v>76</v>
      </c>
      <c r="G29" s="111">
        <f>4000+46930</f>
        <v>50930</v>
      </c>
      <c r="H29" s="110">
        <f>20+64</f>
        <v>84</v>
      </c>
      <c r="I29" s="109">
        <f>4000+50360</f>
        <v>54360</v>
      </c>
      <c r="J29" s="108">
        <f t="shared" si="0"/>
        <v>1073</v>
      </c>
      <c r="K29" s="107">
        <f t="shared" si="0"/>
        <v>314897</v>
      </c>
      <c r="L29" s="106"/>
    </row>
    <row r="30" spans="2:12" s="60" customFormat="1" ht="20.25" customHeight="1">
      <c r="B30" s="61">
        <v>21</v>
      </c>
      <c r="C30" s="62" t="s">
        <v>25</v>
      </c>
      <c r="D30" s="120">
        <f>'５月'!J30</f>
        <v>1768</v>
      </c>
      <c r="E30" s="116">
        <f>'５月'!K30</f>
        <v>855375</v>
      </c>
      <c r="F30" s="112">
        <f>299+861</f>
        <v>1160</v>
      </c>
      <c r="G30" s="111">
        <f>153930+65205</f>
        <v>219135</v>
      </c>
      <c r="H30" s="110">
        <f>303+717</f>
        <v>1020</v>
      </c>
      <c r="I30" s="109">
        <f>173310+68536</f>
        <v>241846</v>
      </c>
      <c r="J30" s="108">
        <f t="shared" si="0"/>
        <v>1908</v>
      </c>
      <c r="K30" s="107">
        <f t="shared" si="0"/>
        <v>832664</v>
      </c>
      <c r="L30" s="106"/>
    </row>
    <row r="31" spans="2:12" s="60" customFormat="1" ht="20.25" customHeight="1">
      <c r="B31" s="61">
        <v>22</v>
      </c>
      <c r="C31" s="62" t="s">
        <v>26</v>
      </c>
      <c r="D31" s="120">
        <f>'５月'!J31</f>
        <v>0</v>
      </c>
      <c r="E31" s="116">
        <f>'５月'!K31</f>
        <v>0</v>
      </c>
      <c r="F31" s="112">
        <v>0</v>
      </c>
      <c r="G31" s="111">
        <v>0</v>
      </c>
      <c r="H31" s="110">
        <v>0</v>
      </c>
      <c r="I31" s="109">
        <v>0</v>
      </c>
      <c r="J31" s="108">
        <f t="shared" si="0"/>
        <v>0</v>
      </c>
      <c r="K31" s="107">
        <f t="shared" si="0"/>
        <v>0</v>
      </c>
      <c r="L31" s="106"/>
    </row>
    <row r="32" spans="2:12" s="60" customFormat="1" ht="20.25" customHeight="1">
      <c r="B32" s="61">
        <v>23</v>
      </c>
      <c r="C32" s="62" t="s">
        <v>27</v>
      </c>
      <c r="D32" s="120">
        <f>'５月'!J32</f>
        <v>43</v>
      </c>
      <c r="E32" s="116">
        <f>'５月'!K32</f>
        <v>57181</v>
      </c>
      <c r="F32" s="112">
        <v>19</v>
      </c>
      <c r="G32" s="111">
        <v>29569</v>
      </c>
      <c r="H32" s="110">
        <v>29</v>
      </c>
      <c r="I32" s="109">
        <v>38331</v>
      </c>
      <c r="J32" s="108">
        <f t="shared" si="0"/>
        <v>33</v>
      </c>
      <c r="K32" s="107">
        <f t="shared" si="0"/>
        <v>48419</v>
      </c>
      <c r="L32" s="106"/>
    </row>
    <row r="33" spans="2:12" s="60" customFormat="1" ht="20.25" customHeight="1">
      <c r="B33" s="61">
        <v>24</v>
      </c>
      <c r="C33" s="62" t="s">
        <v>28</v>
      </c>
      <c r="D33" s="120">
        <f>'５月'!J33</f>
        <v>23758</v>
      </c>
      <c r="E33" s="116">
        <f>'５月'!K33</f>
        <v>7825328</v>
      </c>
      <c r="F33" s="112">
        <v>15021</v>
      </c>
      <c r="G33" s="111">
        <v>4210299</v>
      </c>
      <c r="H33" s="72">
        <v>16263</v>
      </c>
      <c r="I33" s="109">
        <v>4971238</v>
      </c>
      <c r="J33" s="108">
        <f t="shared" si="0"/>
        <v>22516</v>
      </c>
      <c r="K33" s="107">
        <f t="shared" si="0"/>
        <v>7064389</v>
      </c>
      <c r="L33" s="106"/>
    </row>
    <row r="34" spans="2:12" s="60" customFormat="1" ht="32.25" customHeight="1">
      <c r="B34" s="61">
        <v>25</v>
      </c>
      <c r="C34" s="62" t="s">
        <v>29</v>
      </c>
      <c r="D34" s="120">
        <f>'５月'!J34</f>
        <v>98468</v>
      </c>
      <c r="E34" s="116">
        <f>'５月'!K34</f>
        <v>7093954</v>
      </c>
      <c r="F34" s="112">
        <f>43951+274</f>
        <v>44225</v>
      </c>
      <c r="G34" s="111">
        <f>5889542+302800</f>
        <v>6192342</v>
      </c>
      <c r="H34" s="110">
        <f>40212+312</f>
        <v>40524</v>
      </c>
      <c r="I34" s="109">
        <f>5476142+303200</f>
        <v>5779342</v>
      </c>
      <c r="J34" s="108">
        <f t="shared" si="0"/>
        <v>102169</v>
      </c>
      <c r="K34" s="107">
        <f t="shared" si="0"/>
        <v>7506954</v>
      </c>
      <c r="L34" s="106"/>
    </row>
    <row r="35" spans="2:12" s="60" customFormat="1" ht="20.25" customHeight="1">
      <c r="B35" s="61">
        <v>26</v>
      </c>
      <c r="C35" s="62" t="s">
        <v>30</v>
      </c>
      <c r="D35" s="120">
        <f>'５月'!J35</f>
        <v>5144</v>
      </c>
      <c r="E35" s="116">
        <f>'５月'!K35</f>
        <v>3559417</v>
      </c>
      <c r="F35" s="112">
        <v>1087</v>
      </c>
      <c r="G35" s="111">
        <v>238579</v>
      </c>
      <c r="H35" s="110">
        <v>896</v>
      </c>
      <c r="I35" s="109">
        <v>151643</v>
      </c>
      <c r="J35" s="108">
        <f t="shared" si="0"/>
        <v>5335</v>
      </c>
      <c r="K35" s="107">
        <f t="shared" si="0"/>
        <v>3646353</v>
      </c>
      <c r="L35" s="106"/>
    </row>
    <row r="36" spans="2:12" s="60" customFormat="1" ht="20.25" customHeight="1">
      <c r="B36" s="61">
        <v>27</v>
      </c>
      <c r="C36" s="62" t="s">
        <v>31</v>
      </c>
      <c r="D36" s="120">
        <f>'５月'!J36</f>
        <v>283</v>
      </c>
      <c r="E36" s="116">
        <f>'５月'!K36</f>
        <v>57320</v>
      </c>
      <c r="F36" s="112">
        <v>320</v>
      </c>
      <c r="G36" s="111">
        <v>64000</v>
      </c>
      <c r="H36" s="110">
        <v>328</v>
      </c>
      <c r="I36" s="109">
        <v>65600</v>
      </c>
      <c r="J36" s="108">
        <f t="shared" si="0"/>
        <v>275</v>
      </c>
      <c r="K36" s="107">
        <f t="shared" si="0"/>
        <v>55720</v>
      </c>
      <c r="L36" s="106"/>
    </row>
    <row r="37" spans="2:12" s="60" customFormat="1" ht="20.25" customHeight="1">
      <c r="B37" s="61">
        <v>28</v>
      </c>
      <c r="C37" s="62" t="s">
        <v>33</v>
      </c>
      <c r="D37" s="120">
        <f>'５月'!J37</f>
        <v>0</v>
      </c>
      <c r="E37" s="116">
        <f>'５月'!K37</f>
        <v>0</v>
      </c>
      <c r="F37" s="112">
        <v>0</v>
      </c>
      <c r="G37" s="111">
        <v>0</v>
      </c>
      <c r="H37" s="110">
        <v>0</v>
      </c>
      <c r="I37" s="109">
        <v>0</v>
      </c>
      <c r="J37" s="108">
        <f t="shared" si="0"/>
        <v>0</v>
      </c>
      <c r="K37" s="107">
        <f t="shared" si="0"/>
        <v>0</v>
      </c>
      <c r="L37" s="106"/>
    </row>
    <row r="38" spans="2:12" s="60" customFormat="1" ht="20.25" customHeight="1">
      <c r="B38" s="61">
        <v>29</v>
      </c>
      <c r="C38" s="62" t="s">
        <v>32</v>
      </c>
      <c r="D38" s="120">
        <f>'５月'!J38</f>
        <v>91</v>
      </c>
      <c r="E38" s="116">
        <f>'５月'!K38</f>
        <v>21520</v>
      </c>
      <c r="F38" s="112">
        <v>2</v>
      </c>
      <c r="G38" s="111">
        <v>961</v>
      </c>
      <c r="H38" s="110">
        <v>1</v>
      </c>
      <c r="I38" s="109">
        <v>1</v>
      </c>
      <c r="J38" s="108">
        <f t="shared" si="0"/>
        <v>92</v>
      </c>
      <c r="K38" s="107">
        <f t="shared" si="0"/>
        <v>22480</v>
      </c>
      <c r="L38" s="106"/>
    </row>
    <row r="39" spans="2:12" s="60" customFormat="1" ht="20.25" customHeight="1">
      <c r="B39" s="61">
        <v>30</v>
      </c>
      <c r="C39" s="62" t="s">
        <v>34</v>
      </c>
      <c r="D39" s="120">
        <f>'５月'!J39</f>
        <v>1164</v>
      </c>
      <c r="E39" s="116">
        <f>'５月'!K39</f>
        <v>1280400</v>
      </c>
      <c r="F39" s="112">
        <v>240</v>
      </c>
      <c r="G39" s="111">
        <v>264000</v>
      </c>
      <c r="H39" s="110">
        <v>180</v>
      </c>
      <c r="I39" s="109">
        <v>198000</v>
      </c>
      <c r="J39" s="108">
        <f t="shared" si="0"/>
        <v>1224</v>
      </c>
      <c r="K39" s="107">
        <f t="shared" si="0"/>
        <v>1346400</v>
      </c>
      <c r="L39" s="106"/>
    </row>
    <row r="40" spans="2:12" s="60" customFormat="1" ht="20.25" customHeight="1">
      <c r="B40" s="61">
        <v>31</v>
      </c>
      <c r="C40" s="62" t="s">
        <v>35</v>
      </c>
      <c r="D40" s="120">
        <f>'５月'!J40</f>
        <v>0</v>
      </c>
      <c r="E40" s="116">
        <f>'５月'!K40</f>
        <v>0</v>
      </c>
      <c r="F40" s="112">
        <v>0</v>
      </c>
      <c r="G40" s="111">
        <v>0</v>
      </c>
      <c r="H40" s="110">
        <v>0</v>
      </c>
      <c r="I40" s="109">
        <v>0</v>
      </c>
      <c r="J40" s="108">
        <f t="shared" si="0"/>
        <v>0</v>
      </c>
      <c r="K40" s="107">
        <f t="shared" si="0"/>
        <v>0</v>
      </c>
      <c r="L40" s="106"/>
    </row>
    <row r="41" spans="2:12" s="60" customFormat="1" ht="20.25" customHeight="1">
      <c r="B41" s="61">
        <v>32</v>
      </c>
      <c r="C41" s="62" t="s">
        <v>36</v>
      </c>
      <c r="D41" s="120">
        <f>'５月'!J41</f>
        <v>0</v>
      </c>
      <c r="E41" s="116">
        <f>'５月'!K41</f>
        <v>0</v>
      </c>
      <c r="F41" s="112">
        <v>0</v>
      </c>
      <c r="G41" s="111">
        <v>0</v>
      </c>
      <c r="H41" s="110">
        <v>0</v>
      </c>
      <c r="I41" s="109">
        <v>0</v>
      </c>
      <c r="J41" s="108">
        <f t="shared" si="0"/>
        <v>0</v>
      </c>
      <c r="K41" s="107">
        <f t="shared" si="0"/>
        <v>0</v>
      </c>
      <c r="L41" s="106"/>
    </row>
    <row r="42" spans="2:12" s="60" customFormat="1" ht="20.25" customHeight="1">
      <c r="B42" s="61">
        <v>33</v>
      </c>
      <c r="C42" s="62" t="s">
        <v>37</v>
      </c>
      <c r="D42" s="120">
        <f>'５月'!J42</f>
        <v>50723</v>
      </c>
      <c r="E42" s="116">
        <f>'５月'!K42</f>
        <v>9332222</v>
      </c>
      <c r="F42" s="112">
        <v>25005</v>
      </c>
      <c r="G42" s="111">
        <v>7451081</v>
      </c>
      <c r="H42" s="110">
        <v>24859</v>
      </c>
      <c r="I42" s="109">
        <v>7500775</v>
      </c>
      <c r="J42" s="108">
        <f t="shared" si="0"/>
        <v>50869</v>
      </c>
      <c r="K42" s="107">
        <f t="shared" si="0"/>
        <v>9282528</v>
      </c>
      <c r="L42" s="106"/>
    </row>
    <row r="43" spans="2:12" s="60" customFormat="1" ht="33" customHeight="1">
      <c r="B43" s="61">
        <v>34</v>
      </c>
      <c r="C43" s="62" t="s">
        <v>38</v>
      </c>
      <c r="D43" s="120">
        <f>'５月'!J43</f>
        <v>7650</v>
      </c>
      <c r="E43" s="116">
        <f>'５月'!K43</f>
        <v>13094088</v>
      </c>
      <c r="F43" s="112">
        <v>11947</v>
      </c>
      <c r="G43" s="111">
        <v>13374089</v>
      </c>
      <c r="H43" s="110">
        <v>10703</v>
      </c>
      <c r="I43" s="109">
        <v>13775491</v>
      </c>
      <c r="J43" s="108">
        <f t="shared" si="0"/>
        <v>8894</v>
      </c>
      <c r="K43" s="107">
        <f t="shared" si="0"/>
        <v>12692686</v>
      </c>
      <c r="L43" s="106"/>
    </row>
    <row r="44" spans="2:12" s="60" customFormat="1" ht="20.25" customHeight="1">
      <c r="B44" s="61">
        <v>35</v>
      </c>
      <c r="C44" s="62" t="s">
        <v>39</v>
      </c>
      <c r="D44" s="120">
        <f>'５月'!J44</f>
        <v>33</v>
      </c>
      <c r="E44" s="116">
        <f>'５月'!K44</f>
        <v>134550</v>
      </c>
      <c r="F44" s="112">
        <v>16</v>
      </c>
      <c r="G44" s="111">
        <v>22501</v>
      </c>
      <c r="H44" s="110">
        <v>13</v>
      </c>
      <c r="I44" s="109">
        <v>18271</v>
      </c>
      <c r="J44" s="108">
        <f t="shared" si="0"/>
        <v>36</v>
      </c>
      <c r="K44" s="107">
        <f t="shared" si="0"/>
        <v>138780</v>
      </c>
      <c r="L44" s="106"/>
    </row>
    <row r="45" spans="2:12" s="60" customFormat="1" ht="20.25" customHeight="1">
      <c r="B45" s="61">
        <v>36</v>
      </c>
      <c r="C45" s="62" t="s">
        <v>40</v>
      </c>
      <c r="D45" s="120">
        <f>'５月'!J45</f>
        <v>5635</v>
      </c>
      <c r="E45" s="116">
        <f>'５月'!K45</f>
        <v>2742392</v>
      </c>
      <c r="F45" s="112">
        <v>1491</v>
      </c>
      <c r="G45" s="111">
        <v>342797</v>
      </c>
      <c r="H45" s="110">
        <v>1596</v>
      </c>
      <c r="I45" s="109">
        <v>375122</v>
      </c>
      <c r="J45" s="108">
        <f t="shared" si="0"/>
        <v>5530</v>
      </c>
      <c r="K45" s="107">
        <f t="shared" si="0"/>
        <v>2710067</v>
      </c>
      <c r="L45" s="106"/>
    </row>
    <row r="46" spans="2:12" ht="20.25" customHeight="1">
      <c r="B46" s="21">
        <v>37</v>
      </c>
      <c r="C46" s="22" t="s">
        <v>41</v>
      </c>
      <c r="D46" s="120">
        <f>'５月'!J46</f>
        <v>7359</v>
      </c>
      <c r="E46" s="116">
        <f>'５月'!K46</f>
        <v>2553768</v>
      </c>
      <c r="F46" s="105">
        <v>3883</v>
      </c>
      <c r="G46" s="104">
        <v>783359</v>
      </c>
      <c r="H46" s="103">
        <v>3004</v>
      </c>
      <c r="I46" s="102">
        <v>527201</v>
      </c>
      <c r="J46" s="101">
        <f t="shared" si="0"/>
        <v>8238</v>
      </c>
      <c r="K46" s="100">
        <f t="shared" si="0"/>
        <v>2809926</v>
      </c>
      <c r="L46" s="99"/>
    </row>
    <row r="47" spans="2:12" ht="32.25" customHeight="1">
      <c r="B47" s="21">
        <v>38</v>
      </c>
      <c r="C47" s="22" t="s">
        <v>42</v>
      </c>
      <c r="D47" s="120">
        <f>'５月'!J47</f>
        <v>2990</v>
      </c>
      <c r="E47" s="116">
        <f>'５月'!K47</f>
        <v>1834069</v>
      </c>
      <c r="F47" s="105">
        <v>1058</v>
      </c>
      <c r="G47" s="104">
        <v>387341</v>
      </c>
      <c r="H47" s="103">
        <v>1049</v>
      </c>
      <c r="I47" s="102">
        <v>314222</v>
      </c>
      <c r="J47" s="101">
        <f t="shared" si="0"/>
        <v>2999</v>
      </c>
      <c r="K47" s="100">
        <f t="shared" si="0"/>
        <v>1907188</v>
      </c>
      <c r="L47" s="99"/>
    </row>
    <row r="48" spans="2:12" ht="20.25" customHeight="1">
      <c r="B48" s="21">
        <v>39</v>
      </c>
      <c r="C48" s="22" t="s">
        <v>43</v>
      </c>
      <c r="D48" s="120">
        <f>'５月'!J48</f>
        <v>0</v>
      </c>
      <c r="E48" s="116">
        <f>'５月'!K48</f>
        <v>0</v>
      </c>
      <c r="F48" s="105">
        <v>0</v>
      </c>
      <c r="G48" s="104">
        <v>0</v>
      </c>
      <c r="H48" s="103">
        <v>0</v>
      </c>
      <c r="I48" s="102">
        <v>0</v>
      </c>
      <c r="J48" s="101">
        <f t="shared" si="0"/>
        <v>0</v>
      </c>
      <c r="K48" s="100">
        <f t="shared" si="0"/>
        <v>0</v>
      </c>
      <c r="L48" s="99"/>
    </row>
    <row r="49" spans="2:12" ht="20.25" customHeight="1" thickBot="1">
      <c r="B49" s="23">
        <v>40</v>
      </c>
      <c r="C49" s="24" t="s">
        <v>50</v>
      </c>
      <c r="D49" s="120">
        <f>'５月'!J49</f>
        <v>6786</v>
      </c>
      <c r="E49" s="116">
        <f>'５月'!K49</f>
        <v>2212015</v>
      </c>
      <c r="F49" s="98">
        <v>6208</v>
      </c>
      <c r="G49" s="97">
        <v>1719155</v>
      </c>
      <c r="H49" s="96">
        <v>5333</v>
      </c>
      <c r="I49" s="95">
        <v>1625064</v>
      </c>
      <c r="J49" s="94">
        <f t="shared" si="0"/>
        <v>7661</v>
      </c>
      <c r="K49" s="93">
        <f t="shared" si="0"/>
        <v>2306106</v>
      </c>
      <c r="L49" s="92"/>
    </row>
    <row r="50" spans="2:12" ht="21" customHeight="1" thickBot="1" thickTop="1">
      <c r="B50" s="140" t="s">
        <v>46</v>
      </c>
      <c r="C50" s="141"/>
      <c r="D50" s="91">
        <f aca="true" t="shared" si="1" ref="D50:I50">SUM(D10:D49)</f>
        <v>318566</v>
      </c>
      <c r="E50" s="90">
        <f t="shared" si="1"/>
        <v>82277113</v>
      </c>
      <c r="F50" s="89">
        <f t="shared" si="1"/>
        <v>140317</v>
      </c>
      <c r="G50" s="87">
        <f t="shared" si="1"/>
        <v>42137212</v>
      </c>
      <c r="H50" s="89">
        <f t="shared" si="1"/>
        <v>129405</v>
      </c>
      <c r="I50" s="87">
        <f t="shared" si="1"/>
        <v>42188205</v>
      </c>
      <c r="J50" s="88">
        <f t="shared" si="0"/>
        <v>329478</v>
      </c>
      <c r="K50" s="87">
        <f t="shared" si="0"/>
        <v>82226120</v>
      </c>
      <c r="L50" s="86"/>
    </row>
    <row r="51" spans="10:11" ht="13.5">
      <c r="J51" s="85"/>
      <c r="K51" s="85"/>
    </row>
    <row r="52" spans="10:11" ht="13.5">
      <c r="J52" s="84"/>
      <c r="K52" s="84"/>
    </row>
    <row r="53" spans="10:11" ht="13.5">
      <c r="J53" s="77"/>
      <c r="K53" s="77"/>
    </row>
    <row r="55" spans="4:11" ht="13.5">
      <c r="D55" s="75"/>
      <c r="E55" s="75"/>
      <c r="F55" s="75"/>
      <c r="G55" s="75"/>
      <c r="H55" s="75"/>
      <c r="I55" s="75"/>
      <c r="J55" s="82"/>
      <c r="K55" s="82"/>
    </row>
    <row r="56" spans="4:11" ht="13.5">
      <c r="D56" s="75"/>
      <c r="E56" s="75"/>
      <c r="F56" s="75"/>
      <c r="G56" s="75"/>
      <c r="H56" s="75"/>
      <c r="I56" s="75"/>
      <c r="J56" s="82"/>
      <c r="K56" s="82"/>
    </row>
    <row r="57" spans="4:11" ht="13.5">
      <c r="D57" s="80"/>
      <c r="E57" s="80"/>
      <c r="F57" s="80"/>
      <c r="G57" s="80"/>
      <c r="H57" s="80"/>
      <c r="I57" s="80"/>
      <c r="J57" s="80"/>
      <c r="K57" s="80"/>
    </row>
    <row r="58" spans="4:11" ht="13.5">
      <c r="D58" s="80"/>
      <c r="E58" s="80"/>
      <c r="F58" s="80"/>
      <c r="G58" s="80"/>
      <c r="H58" s="80"/>
      <c r="I58" s="80"/>
      <c r="J58" s="80"/>
      <c r="K58" s="80"/>
    </row>
    <row r="59" spans="4:11" ht="13.5">
      <c r="D59" s="80"/>
      <c r="E59" s="80"/>
      <c r="F59" s="80"/>
      <c r="G59" s="80"/>
      <c r="H59" s="80"/>
      <c r="I59" s="80"/>
      <c r="J59" s="83"/>
      <c r="K59" s="83"/>
    </row>
    <row r="60" spans="4:11" ht="13.5">
      <c r="D60" s="80"/>
      <c r="E60" s="80"/>
      <c r="F60" s="80"/>
      <c r="G60" s="80"/>
      <c r="H60" s="80"/>
      <c r="I60" s="80"/>
      <c r="J60" s="83"/>
      <c r="K60" s="83"/>
    </row>
    <row r="61" spans="4:11" ht="13.5">
      <c r="D61" s="80"/>
      <c r="E61" s="80"/>
      <c r="F61" s="80"/>
      <c r="G61" s="80"/>
      <c r="H61" s="80"/>
      <c r="I61" s="80"/>
      <c r="J61" s="80"/>
      <c r="K61" s="80"/>
    </row>
    <row r="62" spans="4:11" ht="13.5">
      <c r="D62" s="75"/>
      <c r="E62" s="75"/>
      <c r="F62" s="75"/>
      <c r="G62" s="75"/>
      <c r="H62" s="75"/>
      <c r="I62" s="75"/>
      <c r="J62" s="75"/>
      <c r="K62" s="75"/>
    </row>
    <row r="63" spans="4:11" ht="13.5">
      <c r="D63" s="75"/>
      <c r="E63" s="75"/>
      <c r="F63" s="75"/>
      <c r="G63" s="75"/>
      <c r="H63" s="75"/>
      <c r="I63" s="75"/>
      <c r="J63" s="82"/>
      <c r="K63" s="82"/>
    </row>
    <row r="64" spans="4:11" ht="13.5">
      <c r="D64" s="75"/>
      <c r="E64" s="75"/>
      <c r="F64" s="75"/>
      <c r="G64" s="75"/>
      <c r="H64" s="75"/>
      <c r="I64" s="75"/>
      <c r="J64" s="82"/>
      <c r="K64" s="82"/>
    </row>
    <row r="65" spans="4:11" ht="13.5">
      <c r="D65" s="75"/>
      <c r="E65" s="75"/>
      <c r="F65" s="75"/>
      <c r="G65" s="75"/>
      <c r="H65" s="75"/>
      <c r="I65" s="75"/>
      <c r="J65" s="75"/>
      <c r="K65" s="75"/>
    </row>
  </sheetData>
  <sheetProtection/>
  <mergeCells count="9">
    <mergeCell ref="B50:C50"/>
    <mergeCell ref="B2:L2"/>
    <mergeCell ref="J4:L4"/>
    <mergeCell ref="J5:L5"/>
    <mergeCell ref="D7:E7"/>
    <mergeCell ref="F7:G7"/>
    <mergeCell ref="H7:I7"/>
    <mergeCell ref="J7:K7"/>
    <mergeCell ref="L7:L9"/>
  </mergeCells>
  <printOptions horizontalCentered="1"/>
  <pageMargins left="0.3937007874015748" right="0.3937007874015748" top="0.5905511811023623" bottom="0.3937007874015748" header="0" footer="0"/>
  <pageSetup fitToHeight="1" fitToWidth="1" horizontalDpi="300" verticalDpi="300" orientation="portrait" paperSize="9" scale="8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65"/>
  <sheetViews>
    <sheetView zoomScalePageLayoutView="0" workbookViewId="0" topLeftCell="A1">
      <pane xSplit="5" ySplit="9" topLeftCell="F10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J23" sqref="J23"/>
    </sheetView>
  </sheetViews>
  <sheetFormatPr defaultColWidth="9.00390625" defaultRowHeight="13.5"/>
  <cols>
    <col min="1" max="1" width="4.375" style="1" customWidth="1"/>
    <col min="2" max="2" width="3.375" style="1" customWidth="1"/>
    <col min="3" max="3" width="15.125" style="1" customWidth="1"/>
    <col min="4" max="4" width="10.00390625" style="1" customWidth="1"/>
    <col min="5" max="5" width="11.25390625" style="1" customWidth="1"/>
    <col min="6" max="6" width="10.00390625" style="1" customWidth="1"/>
    <col min="7" max="7" width="11.25390625" style="1" customWidth="1"/>
    <col min="8" max="8" width="10.00390625" style="1" customWidth="1"/>
    <col min="9" max="9" width="11.25390625" style="1" customWidth="1"/>
    <col min="10" max="10" width="10.00390625" style="1" customWidth="1"/>
    <col min="11" max="11" width="11.25390625" style="1" customWidth="1"/>
    <col min="12" max="12" width="9.375" style="1" customWidth="1"/>
    <col min="13" max="13" width="4.00390625" style="1" customWidth="1"/>
    <col min="14" max="16384" width="9.00390625" style="1" customWidth="1"/>
  </cols>
  <sheetData>
    <row r="2" spans="2:12" ht="18.75" customHeight="1">
      <c r="B2" s="142" t="s">
        <v>47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2:12" ht="15" customHeight="1">
      <c r="B3" s="28" t="str">
        <f>'１月'!$B$3</f>
        <v>平成２８年</v>
      </c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2:12" ht="18" customHeight="1">
      <c r="B4" s="27"/>
      <c r="C4" s="54" t="s">
        <v>68</v>
      </c>
      <c r="E4" s="28" t="s">
        <v>54</v>
      </c>
      <c r="I4" s="121" t="s">
        <v>52</v>
      </c>
      <c r="J4" s="152" t="s">
        <v>57</v>
      </c>
      <c r="K4" s="152"/>
      <c r="L4" s="152"/>
    </row>
    <row r="5" spans="3:12" ht="18" customHeight="1">
      <c r="C5" s="1" t="s">
        <v>59</v>
      </c>
      <c r="I5" s="2" t="s">
        <v>53</v>
      </c>
      <c r="J5" s="148"/>
      <c r="K5" s="148"/>
      <c r="L5" s="148"/>
    </row>
    <row r="6" spans="5:12" ht="18" customHeight="1" thickBot="1">
      <c r="E6" s="1" t="s">
        <v>58</v>
      </c>
      <c r="I6" s="2"/>
      <c r="J6" s="55"/>
      <c r="K6" s="55"/>
      <c r="L6" s="55"/>
    </row>
    <row r="7" spans="2:12" ht="18.75" customHeight="1">
      <c r="B7" s="3"/>
      <c r="C7" s="4" t="s">
        <v>48</v>
      </c>
      <c r="D7" s="143" t="s">
        <v>0</v>
      </c>
      <c r="E7" s="144"/>
      <c r="F7" s="145" t="s">
        <v>1</v>
      </c>
      <c r="G7" s="146"/>
      <c r="H7" s="144" t="s">
        <v>2</v>
      </c>
      <c r="I7" s="144"/>
      <c r="J7" s="145" t="s">
        <v>3</v>
      </c>
      <c r="K7" s="146"/>
      <c r="L7" s="149" t="s">
        <v>4</v>
      </c>
    </row>
    <row r="8" spans="2:12" ht="18.75" customHeight="1">
      <c r="B8" s="5"/>
      <c r="C8" s="6"/>
      <c r="D8" s="7" t="s">
        <v>44</v>
      </c>
      <c r="E8" s="8" t="s">
        <v>45</v>
      </c>
      <c r="F8" s="9" t="s">
        <v>44</v>
      </c>
      <c r="G8" s="10" t="s">
        <v>45</v>
      </c>
      <c r="H8" s="11" t="s">
        <v>44</v>
      </c>
      <c r="I8" s="8" t="s">
        <v>45</v>
      </c>
      <c r="J8" s="9" t="s">
        <v>44</v>
      </c>
      <c r="K8" s="10" t="s">
        <v>45</v>
      </c>
      <c r="L8" s="150"/>
    </row>
    <row r="9" spans="2:12" ht="18.75" customHeight="1" thickBot="1">
      <c r="B9" s="12" t="s">
        <v>49</v>
      </c>
      <c r="C9" s="13"/>
      <c r="D9" s="14" t="s">
        <v>55</v>
      </c>
      <c r="E9" s="15" t="s">
        <v>5</v>
      </c>
      <c r="F9" s="16" t="s">
        <v>55</v>
      </c>
      <c r="G9" s="17" t="s">
        <v>5</v>
      </c>
      <c r="H9" s="18" t="s">
        <v>55</v>
      </c>
      <c r="I9" s="15" t="s">
        <v>5</v>
      </c>
      <c r="J9" s="16" t="s">
        <v>55</v>
      </c>
      <c r="K9" s="17" t="s">
        <v>5</v>
      </c>
      <c r="L9" s="151"/>
    </row>
    <row r="10" spans="2:14" ht="20.25" customHeight="1" thickTop="1">
      <c r="B10" s="19">
        <v>1</v>
      </c>
      <c r="C10" s="20" t="s">
        <v>6</v>
      </c>
      <c r="D10" s="120">
        <f>'６月'!J10</f>
        <v>37103</v>
      </c>
      <c r="E10" s="116">
        <f>'６月'!K10</f>
        <v>9440323</v>
      </c>
      <c r="F10" s="119">
        <v>1641</v>
      </c>
      <c r="G10" s="118">
        <v>239707</v>
      </c>
      <c r="H10" s="117">
        <v>2307</v>
      </c>
      <c r="I10" s="116">
        <v>362531</v>
      </c>
      <c r="J10" s="115">
        <f aca="true" t="shared" si="0" ref="J10:K50">D10+F10-H10</f>
        <v>36437</v>
      </c>
      <c r="K10" s="114">
        <f t="shared" si="0"/>
        <v>9317499</v>
      </c>
      <c r="L10" s="113"/>
      <c r="N10" s="60"/>
    </row>
    <row r="11" spans="2:12" ht="20.25" customHeight="1">
      <c r="B11" s="21">
        <v>2</v>
      </c>
      <c r="C11" s="22" t="s">
        <v>7</v>
      </c>
      <c r="D11" s="120">
        <f>'６月'!J11</f>
        <v>39</v>
      </c>
      <c r="E11" s="116">
        <f>'６月'!K11</f>
        <v>2166</v>
      </c>
      <c r="F11" s="105">
        <v>0</v>
      </c>
      <c r="G11" s="104">
        <v>0</v>
      </c>
      <c r="H11" s="103">
        <v>0</v>
      </c>
      <c r="I11" s="102">
        <v>0</v>
      </c>
      <c r="J11" s="101">
        <f t="shared" si="0"/>
        <v>39</v>
      </c>
      <c r="K11" s="100">
        <f t="shared" si="0"/>
        <v>2166</v>
      </c>
      <c r="L11" s="99"/>
    </row>
    <row r="12" spans="2:12" ht="20.25" customHeight="1">
      <c r="B12" s="21">
        <v>3</v>
      </c>
      <c r="C12" s="22" t="s">
        <v>8</v>
      </c>
      <c r="D12" s="120">
        <f>'６月'!J12</f>
        <v>0</v>
      </c>
      <c r="E12" s="116">
        <f>'６月'!K12</f>
        <v>0</v>
      </c>
      <c r="F12" s="105">
        <v>0</v>
      </c>
      <c r="G12" s="104">
        <v>0</v>
      </c>
      <c r="H12" s="103">
        <v>0</v>
      </c>
      <c r="I12" s="102">
        <v>0</v>
      </c>
      <c r="J12" s="101">
        <f t="shared" si="0"/>
        <v>0</v>
      </c>
      <c r="K12" s="100">
        <f t="shared" si="0"/>
        <v>0</v>
      </c>
      <c r="L12" s="99"/>
    </row>
    <row r="13" spans="2:12" ht="20.25" customHeight="1">
      <c r="B13" s="21">
        <v>4</v>
      </c>
      <c r="C13" s="22" t="s">
        <v>9</v>
      </c>
      <c r="D13" s="120">
        <f>'６月'!J13</f>
        <v>1160</v>
      </c>
      <c r="E13" s="116">
        <f>'６月'!K13</f>
        <v>158670</v>
      </c>
      <c r="F13" s="105">
        <v>135</v>
      </c>
      <c r="G13" s="104">
        <v>22350</v>
      </c>
      <c r="H13" s="103">
        <v>193</v>
      </c>
      <c r="I13" s="102">
        <v>30250</v>
      </c>
      <c r="J13" s="101">
        <f t="shared" si="0"/>
        <v>1102</v>
      </c>
      <c r="K13" s="100">
        <f t="shared" si="0"/>
        <v>150770</v>
      </c>
      <c r="L13" s="99"/>
    </row>
    <row r="14" spans="2:12" ht="20.25" customHeight="1">
      <c r="B14" s="21">
        <v>5</v>
      </c>
      <c r="C14" s="22" t="s">
        <v>10</v>
      </c>
      <c r="D14" s="120">
        <f>'６月'!J14</f>
        <v>0</v>
      </c>
      <c r="E14" s="116">
        <f>'６月'!K14</f>
        <v>0</v>
      </c>
      <c r="F14" s="105">
        <v>0</v>
      </c>
      <c r="G14" s="104">
        <v>0</v>
      </c>
      <c r="H14" s="103">
        <v>0</v>
      </c>
      <c r="I14" s="102">
        <v>0</v>
      </c>
      <c r="J14" s="101">
        <f t="shared" si="0"/>
        <v>0</v>
      </c>
      <c r="K14" s="100">
        <f t="shared" si="0"/>
        <v>0</v>
      </c>
      <c r="L14" s="99"/>
    </row>
    <row r="15" spans="2:12" ht="20.25" customHeight="1">
      <c r="B15" s="21">
        <v>6</v>
      </c>
      <c r="C15" s="22" t="s">
        <v>11</v>
      </c>
      <c r="D15" s="120">
        <f>'６月'!J15</f>
        <v>0</v>
      </c>
      <c r="E15" s="116">
        <f>'６月'!K15</f>
        <v>0</v>
      </c>
      <c r="F15" s="105">
        <v>0</v>
      </c>
      <c r="G15" s="104">
        <v>0</v>
      </c>
      <c r="H15" s="103">
        <v>0</v>
      </c>
      <c r="I15" s="102">
        <v>0</v>
      </c>
      <c r="J15" s="101">
        <f t="shared" si="0"/>
        <v>0</v>
      </c>
      <c r="K15" s="100">
        <f t="shared" si="0"/>
        <v>0</v>
      </c>
      <c r="L15" s="99"/>
    </row>
    <row r="16" spans="2:12" ht="20.25" customHeight="1">
      <c r="B16" s="21">
        <v>7</v>
      </c>
      <c r="C16" s="22" t="s">
        <v>12</v>
      </c>
      <c r="D16" s="120">
        <f>'６月'!J16</f>
        <v>0</v>
      </c>
      <c r="E16" s="116">
        <f>'６月'!K16</f>
        <v>0</v>
      </c>
      <c r="F16" s="105">
        <v>0</v>
      </c>
      <c r="G16" s="104">
        <v>0</v>
      </c>
      <c r="H16" s="103">
        <v>0</v>
      </c>
      <c r="I16" s="102">
        <v>0</v>
      </c>
      <c r="J16" s="101">
        <f t="shared" si="0"/>
        <v>0</v>
      </c>
      <c r="K16" s="100">
        <f t="shared" si="0"/>
        <v>0</v>
      </c>
      <c r="L16" s="99"/>
    </row>
    <row r="17" spans="2:12" ht="20.25" customHeight="1">
      <c r="B17" s="21">
        <v>8</v>
      </c>
      <c r="C17" s="22" t="s">
        <v>13</v>
      </c>
      <c r="D17" s="120">
        <f>'６月'!J17</f>
        <v>0</v>
      </c>
      <c r="E17" s="116">
        <f>'６月'!K17</f>
        <v>0</v>
      </c>
      <c r="F17" s="105">
        <v>0</v>
      </c>
      <c r="G17" s="104">
        <v>0</v>
      </c>
      <c r="H17" s="103">
        <v>0</v>
      </c>
      <c r="I17" s="102">
        <v>0</v>
      </c>
      <c r="J17" s="101">
        <f t="shared" si="0"/>
        <v>0</v>
      </c>
      <c r="K17" s="100">
        <f t="shared" si="0"/>
        <v>0</v>
      </c>
      <c r="L17" s="99"/>
    </row>
    <row r="18" spans="2:12" ht="20.25" customHeight="1">
      <c r="B18" s="21">
        <v>9</v>
      </c>
      <c r="C18" s="22" t="s">
        <v>14</v>
      </c>
      <c r="D18" s="120">
        <f>'６月'!J18</f>
        <v>45</v>
      </c>
      <c r="E18" s="116">
        <f>'６月'!K18</f>
        <v>6904</v>
      </c>
      <c r="F18" s="105">
        <v>72</v>
      </c>
      <c r="G18" s="104">
        <v>6840</v>
      </c>
      <c r="H18" s="103">
        <v>73</v>
      </c>
      <c r="I18" s="102">
        <v>7610</v>
      </c>
      <c r="J18" s="101">
        <f t="shared" si="0"/>
        <v>44</v>
      </c>
      <c r="K18" s="100">
        <f t="shared" si="0"/>
        <v>6134</v>
      </c>
      <c r="L18" s="99"/>
    </row>
    <row r="19" spans="2:12" ht="20.25" customHeight="1">
      <c r="B19" s="21">
        <v>10</v>
      </c>
      <c r="C19" s="22" t="s">
        <v>15</v>
      </c>
      <c r="D19" s="120">
        <f>'６月'!J19</f>
        <v>0</v>
      </c>
      <c r="E19" s="116">
        <f>'６月'!K19</f>
        <v>0</v>
      </c>
      <c r="F19" s="105">
        <v>0</v>
      </c>
      <c r="G19" s="104">
        <v>0</v>
      </c>
      <c r="H19" s="103">
        <v>0</v>
      </c>
      <c r="I19" s="102">
        <v>0</v>
      </c>
      <c r="J19" s="101">
        <f t="shared" si="0"/>
        <v>0</v>
      </c>
      <c r="K19" s="100">
        <f t="shared" si="0"/>
        <v>0</v>
      </c>
      <c r="L19" s="99"/>
    </row>
    <row r="20" spans="2:12" ht="20.25" customHeight="1">
      <c r="B20" s="21">
        <v>11</v>
      </c>
      <c r="C20" s="22" t="s">
        <v>16</v>
      </c>
      <c r="D20" s="120">
        <f>'６月'!J20</f>
        <v>239</v>
      </c>
      <c r="E20" s="116">
        <f>'６月'!K20</f>
        <v>11523</v>
      </c>
      <c r="F20" s="105">
        <v>396</v>
      </c>
      <c r="G20" s="104">
        <v>19140</v>
      </c>
      <c r="H20" s="103">
        <v>634</v>
      </c>
      <c r="I20" s="102">
        <v>30660</v>
      </c>
      <c r="J20" s="101">
        <f t="shared" si="0"/>
        <v>1</v>
      </c>
      <c r="K20" s="100">
        <f t="shared" si="0"/>
        <v>3</v>
      </c>
      <c r="L20" s="99"/>
    </row>
    <row r="21" spans="2:12" ht="20.25" customHeight="1">
      <c r="B21" s="21">
        <v>12</v>
      </c>
      <c r="C21" s="22" t="s">
        <v>17</v>
      </c>
      <c r="D21" s="120">
        <f>'６月'!J21</f>
        <v>0</v>
      </c>
      <c r="E21" s="116">
        <f>'６月'!K21</f>
        <v>0</v>
      </c>
      <c r="F21" s="105">
        <v>0</v>
      </c>
      <c r="G21" s="104">
        <v>0</v>
      </c>
      <c r="H21" s="103">
        <v>0</v>
      </c>
      <c r="I21" s="102">
        <v>0</v>
      </c>
      <c r="J21" s="101">
        <f t="shared" si="0"/>
        <v>0</v>
      </c>
      <c r="K21" s="100">
        <f t="shared" si="0"/>
        <v>0</v>
      </c>
      <c r="L21" s="99"/>
    </row>
    <row r="22" spans="2:12" ht="20.25" customHeight="1">
      <c r="B22" s="21">
        <v>13</v>
      </c>
      <c r="C22" s="22" t="s">
        <v>18</v>
      </c>
      <c r="D22" s="120">
        <f>'６月'!J22</f>
        <v>7851</v>
      </c>
      <c r="E22" s="116">
        <f>'６月'!K22</f>
        <v>1088100</v>
      </c>
      <c r="F22" s="105">
        <v>1668</v>
      </c>
      <c r="G22" s="104">
        <v>218260</v>
      </c>
      <c r="H22" s="103">
        <v>2118</v>
      </c>
      <c r="I22" s="102">
        <v>301240</v>
      </c>
      <c r="J22" s="101">
        <f t="shared" si="0"/>
        <v>7401</v>
      </c>
      <c r="K22" s="100">
        <f t="shared" si="0"/>
        <v>1005120</v>
      </c>
      <c r="L22" s="99"/>
    </row>
    <row r="23" spans="2:12" s="60" customFormat="1" ht="20.25" customHeight="1">
      <c r="B23" s="61">
        <v>14</v>
      </c>
      <c r="C23" s="62" t="s">
        <v>19</v>
      </c>
      <c r="D23" s="120">
        <f>'６月'!J23</f>
        <v>3051</v>
      </c>
      <c r="E23" s="116">
        <f>'６月'!K23</f>
        <v>2431212</v>
      </c>
      <c r="F23" s="112">
        <f>1153-7</f>
        <v>1146</v>
      </c>
      <c r="G23" s="111">
        <f>1859900-1300</f>
        <v>1858600</v>
      </c>
      <c r="H23" s="110">
        <f>1233-7</f>
        <v>1226</v>
      </c>
      <c r="I23" s="109">
        <f>1564836-1300</f>
        <v>1563536</v>
      </c>
      <c r="J23" s="108">
        <f t="shared" si="0"/>
        <v>2971</v>
      </c>
      <c r="K23" s="107">
        <f t="shared" si="0"/>
        <v>2726276</v>
      </c>
      <c r="L23" s="106"/>
    </row>
    <row r="24" spans="2:12" ht="20.25" customHeight="1">
      <c r="B24" s="21">
        <v>15</v>
      </c>
      <c r="C24" s="22" t="s">
        <v>20</v>
      </c>
      <c r="D24" s="120">
        <f>'６月'!J24</f>
        <v>25657</v>
      </c>
      <c r="E24" s="116">
        <f>'６月'!K24</f>
        <v>3147202</v>
      </c>
      <c r="F24" s="105">
        <v>1134</v>
      </c>
      <c r="G24" s="104">
        <v>659113</v>
      </c>
      <c r="H24" s="103">
        <v>1167</v>
      </c>
      <c r="I24" s="102">
        <v>667909</v>
      </c>
      <c r="J24" s="101">
        <f t="shared" si="0"/>
        <v>25624</v>
      </c>
      <c r="K24" s="100">
        <f t="shared" si="0"/>
        <v>3138406</v>
      </c>
      <c r="L24" s="99"/>
    </row>
    <row r="25" spans="2:12" ht="20.25" customHeight="1">
      <c r="B25" s="21">
        <v>16</v>
      </c>
      <c r="C25" s="22" t="s">
        <v>21</v>
      </c>
      <c r="D25" s="120">
        <f>'６月'!J25</f>
        <v>10627</v>
      </c>
      <c r="E25" s="116">
        <f>'６月'!K25</f>
        <v>6257513</v>
      </c>
      <c r="F25" s="105">
        <v>5307</v>
      </c>
      <c r="G25" s="104">
        <v>1227666</v>
      </c>
      <c r="H25" s="103">
        <v>6496</v>
      </c>
      <c r="I25" s="102">
        <v>2086696</v>
      </c>
      <c r="J25" s="101">
        <f t="shared" si="0"/>
        <v>9438</v>
      </c>
      <c r="K25" s="100">
        <f t="shared" si="0"/>
        <v>5398483</v>
      </c>
      <c r="L25" s="99"/>
    </row>
    <row r="26" spans="2:12" ht="20.25" customHeight="1">
      <c r="B26" s="21">
        <v>17</v>
      </c>
      <c r="C26" s="22" t="s">
        <v>22</v>
      </c>
      <c r="D26" s="120">
        <f>'６月'!J26</f>
        <v>22028</v>
      </c>
      <c r="E26" s="116">
        <f>'６月'!K26</f>
        <v>6577400</v>
      </c>
      <c r="F26" s="105">
        <v>6921</v>
      </c>
      <c r="G26" s="104">
        <v>1477341</v>
      </c>
      <c r="H26" s="103">
        <v>9322</v>
      </c>
      <c r="I26" s="102">
        <v>2995479</v>
      </c>
      <c r="J26" s="101">
        <f t="shared" si="0"/>
        <v>19627</v>
      </c>
      <c r="K26" s="100">
        <f t="shared" si="0"/>
        <v>5059262</v>
      </c>
      <c r="L26" s="99"/>
    </row>
    <row r="27" spans="2:12" ht="20.25" customHeight="1">
      <c r="B27" s="21">
        <v>18</v>
      </c>
      <c r="C27" s="22" t="s">
        <v>51</v>
      </c>
      <c r="D27" s="120">
        <f>'６月'!J27</f>
        <v>2076</v>
      </c>
      <c r="E27" s="116">
        <f>'６月'!K27</f>
        <v>337050</v>
      </c>
      <c r="F27" s="105">
        <v>140</v>
      </c>
      <c r="G27" s="104">
        <v>53300</v>
      </c>
      <c r="H27" s="103">
        <v>132</v>
      </c>
      <c r="I27" s="102">
        <v>57350</v>
      </c>
      <c r="J27" s="101">
        <f t="shared" si="0"/>
        <v>2084</v>
      </c>
      <c r="K27" s="100">
        <f t="shared" si="0"/>
        <v>333000</v>
      </c>
      <c r="L27" s="99"/>
    </row>
    <row r="28" spans="2:12" ht="20.25" customHeight="1">
      <c r="B28" s="21">
        <v>19</v>
      </c>
      <c r="C28" s="22" t="s">
        <v>23</v>
      </c>
      <c r="D28" s="120">
        <f>'６月'!J28</f>
        <v>750</v>
      </c>
      <c r="E28" s="116">
        <f>'６月'!K28</f>
        <v>82500</v>
      </c>
      <c r="F28" s="105">
        <v>730</v>
      </c>
      <c r="G28" s="104">
        <v>80300</v>
      </c>
      <c r="H28" s="103">
        <v>830</v>
      </c>
      <c r="I28" s="102">
        <v>91300</v>
      </c>
      <c r="J28" s="101">
        <f t="shared" si="0"/>
        <v>650</v>
      </c>
      <c r="K28" s="100">
        <f t="shared" si="0"/>
        <v>71500</v>
      </c>
      <c r="L28" s="99"/>
    </row>
    <row r="29" spans="2:12" s="60" customFormat="1" ht="20.25" customHeight="1">
      <c r="B29" s="61">
        <v>20</v>
      </c>
      <c r="C29" s="62" t="s">
        <v>24</v>
      </c>
      <c r="D29" s="120">
        <f>'６月'!J29</f>
        <v>1073</v>
      </c>
      <c r="E29" s="116">
        <f>'６月'!K29</f>
        <v>314897</v>
      </c>
      <c r="F29" s="74">
        <f>20+24</f>
        <v>44</v>
      </c>
      <c r="G29" s="111">
        <f>4000+45960</f>
        <v>49960</v>
      </c>
      <c r="H29" s="110">
        <f>20+40</f>
        <v>60</v>
      </c>
      <c r="I29" s="109">
        <f>4000+46446</f>
        <v>50446</v>
      </c>
      <c r="J29" s="108">
        <f t="shared" si="0"/>
        <v>1057</v>
      </c>
      <c r="K29" s="107">
        <f t="shared" si="0"/>
        <v>314411</v>
      </c>
      <c r="L29" s="106"/>
    </row>
    <row r="30" spans="2:12" s="60" customFormat="1" ht="20.25" customHeight="1">
      <c r="B30" s="61">
        <v>21</v>
      </c>
      <c r="C30" s="62" t="s">
        <v>25</v>
      </c>
      <c r="D30" s="120">
        <f>'６月'!J30</f>
        <v>1908</v>
      </c>
      <c r="E30" s="116">
        <f>'６月'!K30</f>
        <v>832664</v>
      </c>
      <c r="F30" s="112">
        <f>324+602</f>
        <v>926</v>
      </c>
      <c r="G30" s="111">
        <f>233880+60952</f>
        <v>294832</v>
      </c>
      <c r="H30" s="110">
        <f>328+718</f>
        <v>1046</v>
      </c>
      <c r="I30" s="109">
        <f>253260+67771</f>
        <v>321031</v>
      </c>
      <c r="J30" s="108">
        <f t="shared" si="0"/>
        <v>1788</v>
      </c>
      <c r="K30" s="107">
        <f t="shared" si="0"/>
        <v>806465</v>
      </c>
      <c r="L30" s="106"/>
    </row>
    <row r="31" spans="2:12" s="60" customFormat="1" ht="20.25" customHeight="1">
      <c r="B31" s="61">
        <v>22</v>
      </c>
      <c r="C31" s="62" t="s">
        <v>26</v>
      </c>
      <c r="D31" s="120">
        <f>'６月'!J31</f>
        <v>0</v>
      </c>
      <c r="E31" s="116">
        <f>'６月'!K31</f>
        <v>0</v>
      </c>
      <c r="F31" s="112">
        <v>0</v>
      </c>
      <c r="G31" s="111">
        <v>0</v>
      </c>
      <c r="H31" s="110">
        <v>0</v>
      </c>
      <c r="I31" s="109">
        <v>0</v>
      </c>
      <c r="J31" s="108">
        <f t="shared" si="0"/>
        <v>0</v>
      </c>
      <c r="K31" s="107">
        <f t="shared" si="0"/>
        <v>0</v>
      </c>
      <c r="L31" s="106"/>
    </row>
    <row r="32" spans="2:12" s="60" customFormat="1" ht="20.25" customHeight="1">
      <c r="B32" s="61">
        <v>23</v>
      </c>
      <c r="C32" s="62" t="s">
        <v>27</v>
      </c>
      <c r="D32" s="120">
        <f>'６月'!J32</f>
        <v>33</v>
      </c>
      <c r="E32" s="116">
        <f>'６月'!K32</f>
        <v>48419</v>
      </c>
      <c r="F32" s="112">
        <v>0</v>
      </c>
      <c r="G32" s="111">
        <v>24000</v>
      </c>
      <c r="H32" s="110">
        <v>10</v>
      </c>
      <c r="I32" s="109">
        <v>47032</v>
      </c>
      <c r="J32" s="108">
        <f t="shared" si="0"/>
        <v>23</v>
      </c>
      <c r="K32" s="107">
        <f t="shared" si="0"/>
        <v>25387</v>
      </c>
      <c r="L32" s="106"/>
    </row>
    <row r="33" spans="2:12" s="60" customFormat="1" ht="20.25" customHeight="1">
      <c r="B33" s="61">
        <v>24</v>
      </c>
      <c r="C33" s="62" t="s">
        <v>28</v>
      </c>
      <c r="D33" s="120">
        <f>'６月'!J33</f>
        <v>22516</v>
      </c>
      <c r="E33" s="116">
        <f>'６月'!K33</f>
        <v>7064389</v>
      </c>
      <c r="F33" s="112">
        <v>15980</v>
      </c>
      <c r="G33" s="111">
        <v>4779617</v>
      </c>
      <c r="H33" s="72">
        <v>15998</v>
      </c>
      <c r="I33" s="109">
        <v>4697414</v>
      </c>
      <c r="J33" s="108">
        <f t="shared" si="0"/>
        <v>22498</v>
      </c>
      <c r="K33" s="107">
        <f t="shared" si="0"/>
        <v>7146592</v>
      </c>
      <c r="L33" s="106"/>
    </row>
    <row r="34" spans="2:12" s="60" customFormat="1" ht="32.25" customHeight="1">
      <c r="B34" s="61">
        <v>25</v>
      </c>
      <c r="C34" s="62" t="s">
        <v>29</v>
      </c>
      <c r="D34" s="120">
        <f>'６月'!J34</f>
        <v>102169</v>
      </c>
      <c r="E34" s="116">
        <f>'６月'!K34</f>
        <v>7506954</v>
      </c>
      <c r="F34" s="112">
        <f>41715+338</f>
        <v>42053</v>
      </c>
      <c r="G34" s="111">
        <f>5765603+296000</f>
        <v>6061603</v>
      </c>
      <c r="H34" s="110">
        <f>38103+290</f>
        <v>38393</v>
      </c>
      <c r="I34" s="109">
        <f>5412169+294000</f>
        <v>5706169</v>
      </c>
      <c r="J34" s="108">
        <f t="shared" si="0"/>
        <v>105829</v>
      </c>
      <c r="K34" s="107">
        <f t="shared" si="0"/>
        <v>7862388</v>
      </c>
      <c r="L34" s="106"/>
    </row>
    <row r="35" spans="2:12" s="60" customFormat="1" ht="20.25" customHeight="1">
      <c r="B35" s="61">
        <v>26</v>
      </c>
      <c r="C35" s="62" t="s">
        <v>30</v>
      </c>
      <c r="D35" s="120">
        <f>'６月'!J35</f>
        <v>5335</v>
      </c>
      <c r="E35" s="116">
        <f>'６月'!K35</f>
        <v>3646353</v>
      </c>
      <c r="F35" s="112">
        <v>928</v>
      </c>
      <c r="G35" s="111">
        <v>176374</v>
      </c>
      <c r="H35" s="110">
        <v>935</v>
      </c>
      <c r="I35" s="109">
        <v>166218</v>
      </c>
      <c r="J35" s="108">
        <f t="shared" si="0"/>
        <v>5328</v>
      </c>
      <c r="K35" s="107">
        <f t="shared" si="0"/>
        <v>3656509</v>
      </c>
      <c r="L35" s="106"/>
    </row>
    <row r="36" spans="2:12" s="60" customFormat="1" ht="20.25" customHeight="1">
      <c r="B36" s="61">
        <v>27</v>
      </c>
      <c r="C36" s="62" t="s">
        <v>31</v>
      </c>
      <c r="D36" s="120">
        <f>'６月'!J36</f>
        <v>275</v>
      </c>
      <c r="E36" s="116">
        <f>'６月'!K36</f>
        <v>55720</v>
      </c>
      <c r="F36" s="112">
        <v>365</v>
      </c>
      <c r="G36" s="111">
        <v>72960</v>
      </c>
      <c r="H36" s="110">
        <v>358</v>
      </c>
      <c r="I36" s="109">
        <v>71840</v>
      </c>
      <c r="J36" s="108">
        <f t="shared" si="0"/>
        <v>282</v>
      </c>
      <c r="K36" s="107">
        <f t="shared" si="0"/>
        <v>56840</v>
      </c>
      <c r="L36" s="106"/>
    </row>
    <row r="37" spans="2:12" s="60" customFormat="1" ht="20.25" customHeight="1">
      <c r="B37" s="61">
        <v>28</v>
      </c>
      <c r="C37" s="62" t="s">
        <v>33</v>
      </c>
      <c r="D37" s="120">
        <f>'６月'!J37</f>
        <v>0</v>
      </c>
      <c r="E37" s="116">
        <f>'６月'!K37</f>
        <v>0</v>
      </c>
      <c r="F37" s="112">
        <v>0</v>
      </c>
      <c r="G37" s="111">
        <v>0</v>
      </c>
      <c r="H37" s="110">
        <v>0</v>
      </c>
      <c r="I37" s="109">
        <v>0</v>
      </c>
      <c r="J37" s="108">
        <f t="shared" si="0"/>
        <v>0</v>
      </c>
      <c r="K37" s="107">
        <f t="shared" si="0"/>
        <v>0</v>
      </c>
      <c r="L37" s="106"/>
    </row>
    <row r="38" spans="2:12" s="60" customFormat="1" ht="20.25" customHeight="1">
      <c r="B38" s="61">
        <v>29</v>
      </c>
      <c r="C38" s="62" t="s">
        <v>32</v>
      </c>
      <c r="D38" s="120">
        <f>'６月'!J38</f>
        <v>92</v>
      </c>
      <c r="E38" s="116">
        <f>'６月'!K38</f>
        <v>22480</v>
      </c>
      <c r="F38" s="112">
        <v>552</v>
      </c>
      <c r="G38" s="111">
        <v>110960</v>
      </c>
      <c r="H38" s="110">
        <v>53</v>
      </c>
      <c r="I38" s="109">
        <v>10960</v>
      </c>
      <c r="J38" s="108">
        <f t="shared" si="0"/>
        <v>591</v>
      </c>
      <c r="K38" s="107">
        <f t="shared" si="0"/>
        <v>122480</v>
      </c>
      <c r="L38" s="106"/>
    </row>
    <row r="39" spans="2:12" s="60" customFormat="1" ht="20.25" customHeight="1">
      <c r="B39" s="61">
        <v>30</v>
      </c>
      <c r="C39" s="62" t="s">
        <v>34</v>
      </c>
      <c r="D39" s="120">
        <f>'６月'!J39</f>
        <v>1224</v>
      </c>
      <c r="E39" s="116">
        <f>'６月'!K39</f>
        <v>1346400</v>
      </c>
      <c r="F39" s="112">
        <v>100</v>
      </c>
      <c r="G39" s="111">
        <v>110000</v>
      </c>
      <c r="H39" s="110">
        <v>120</v>
      </c>
      <c r="I39" s="109">
        <v>132000</v>
      </c>
      <c r="J39" s="108">
        <f t="shared" si="0"/>
        <v>1204</v>
      </c>
      <c r="K39" s="107">
        <f t="shared" si="0"/>
        <v>1324400</v>
      </c>
      <c r="L39" s="106"/>
    </row>
    <row r="40" spans="2:12" s="60" customFormat="1" ht="20.25" customHeight="1">
      <c r="B40" s="61">
        <v>31</v>
      </c>
      <c r="C40" s="62" t="s">
        <v>35</v>
      </c>
      <c r="D40" s="120">
        <f>'６月'!J40</f>
        <v>0</v>
      </c>
      <c r="E40" s="116">
        <f>'６月'!K40</f>
        <v>0</v>
      </c>
      <c r="F40" s="112">
        <v>0</v>
      </c>
      <c r="G40" s="111">
        <v>0</v>
      </c>
      <c r="H40" s="110">
        <v>0</v>
      </c>
      <c r="I40" s="109">
        <v>0</v>
      </c>
      <c r="J40" s="108">
        <f t="shared" si="0"/>
        <v>0</v>
      </c>
      <c r="K40" s="107">
        <f t="shared" si="0"/>
        <v>0</v>
      </c>
      <c r="L40" s="106"/>
    </row>
    <row r="41" spans="2:12" s="60" customFormat="1" ht="20.25" customHeight="1">
      <c r="B41" s="61">
        <v>32</v>
      </c>
      <c r="C41" s="62" t="s">
        <v>36</v>
      </c>
      <c r="D41" s="120">
        <f>'６月'!J41</f>
        <v>0</v>
      </c>
      <c r="E41" s="116">
        <f>'６月'!K41</f>
        <v>0</v>
      </c>
      <c r="F41" s="112">
        <v>0</v>
      </c>
      <c r="G41" s="111">
        <v>0</v>
      </c>
      <c r="H41" s="110">
        <v>0</v>
      </c>
      <c r="I41" s="109">
        <v>0</v>
      </c>
      <c r="J41" s="108">
        <f t="shared" si="0"/>
        <v>0</v>
      </c>
      <c r="K41" s="107">
        <f t="shared" si="0"/>
        <v>0</v>
      </c>
      <c r="L41" s="106"/>
    </row>
    <row r="42" spans="2:12" s="60" customFormat="1" ht="20.25" customHeight="1">
      <c r="B42" s="61">
        <v>33</v>
      </c>
      <c r="C42" s="62" t="s">
        <v>37</v>
      </c>
      <c r="D42" s="120">
        <f>'６月'!J42</f>
        <v>50869</v>
      </c>
      <c r="E42" s="116">
        <f>'６月'!K42</f>
        <v>9282528</v>
      </c>
      <c r="F42" s="112">
        <v>24399</v>
      </c>
      <c r="G42" s="111">
        <v>7421543</v>
      </c>
      <c r="H42" s="110">
        <v>23798</v>
      </c>
      <c r="I42" s="109">
        <v>7240315</v>
      </c>
      <c r="J42" s="108">
        <f t="shared" si="0"/>
        <v>51470</v>
      </c>
      <c r="K42" s="107">
        <f t="shared" si="0"/>
        <v>9463756</v>
      </c>
      <c r="L42" s="106"/>
    </row>
    <row r="43" spans="2:12" s="60" customFormat="1" ht="33" customHeight="1">
      <c r="B43" s="61">
        <v>34</v>
      </c>
      <c r="C43" s="62" t="s">
        <v>38</v>
      </c>
      <c r="D43" s="120">
        <f>'６月'!J43</f>
        <v>8894</v>
      </c>
      <c r="E43" s="116">
        <f>'６月'!K43</f>
        <v>12692686</v>
      </c>
      <c r="F43" s="112">
        <v>11319</v>
      </c>
      <c r="G43" s="111">
        <v>14363092</v>
      </c>
      <c r="H43" s="110">
        <v>10886</v>
      </c>
      <c r="I43" s="109">
        <v>12772465</v>
      </c>
      <c r="J43" s="108">
        <f t="shared" si="0"/>
        <v>9327</v>
      </c>
      <c r="K43" s="107">
        <f t="shared" si="0"/>
        <v>14283313</v>
      </c>
      <c r="L43" s="106"/>
    </row>
    <row r="44" spans="2:12" s="60" customFormat="1" ht="20.25" customHeight="1">
      <c r="B44" s="61">
        <v>35</v>
      </c>
      <c r="C44" s="62" t="s">
        <v>39</v>
      </c>
      <c r="D44" s="120">
        <f>'６月'!J44</f>
        <v>36</v>
      </c>
      <c r="E44" s="116">
        <f>'６月'!K44</f>
        <v>138780</v>
      </c>
      <c r="F44" s="112">
        <v>6</v>
      </c>
      <c r="G44" s="111">
        <v>7680</v>
      </c>
      <c r="H44" s="110">
        <v>13</v>
      </c>
      <c r="I44" s="109">
        <v>18060</v>
      </c>
      <c r="J44" s="108">
        <f t="shared" si="0"/>
        <v>29</v>
      </c>
      <c r="K44" s="107">
        <f t="shared" si="0"/>
        <v>128400</v>
      </c>
      <c r="L44" s="106"/>
    </row>
    <row r="45" spans="2:12" s="60" customFormat="1" ht="20.25" customHeight="1">
      <c r="B45" s="61">
        <v>36</v>
      </c>
      <c r="C45" s="62" t="s">
        <v>40</v>
      </c>
      <c r="D45" s="120">
        <f>'６月'!J45</f>
        <v>5530</v>
      </c>
      <c r="E45" s="116">
        <f>'６月'!K45</f>
        <v>2710067</v>
      </c>
      <c r="F45" s="112">
        <v>4665</v>
      </c>
      <c r="G45" s="111">
        <v>1837549</v>
      </c>
      <c r="H45" s="110">
        <v>4610</v>
      </c>
      <c r="I45" s="109">
        <v>1936801</v>
      </c>
      <c r="J45" s="108">
        <f t="shared" si="0"/>
        <v>5585</v>
      </c>
      <c r="K45" s="107">
        <f t="shared" si="0"/>
        <v>2610815</v>
      </c>
      <c r="L45" s="106"/>
    </row>
    <row r="46" spans="2:12" ht="20.25" customHeight="1">
      <c r="B46" s="21">
        <v>37</v>
      </c>
      <c r="C46" s="22" t="s">
        <v>41</v>
      </c>
      <c r="D46" s="120">
        <f>'６月'!J46</f>
        <v>8238</v>
      </c>
      <c r="E46" s="116">
        <f>'６月'!K46</f>
        <v>2809926</v>
      </c>
      <c r="F46" s="105">
        <v>3701</v>
      </c>
      <c r="G46" s="104">
        <v>513692</v>
      </c>
      <c r="H46" s="103">
        <v>3003</v>
      </c>
      <c r="I46" s="102">
        <v>1958825</v>
      </c>
      <c r="J46" s="101">
        <f t="shared" si="0"/>
        <v>8936</v>
      </c>
      <c r="K46" s="100">
        <f t="shared" si="0"/>
        <v>1364793</v>
      </c>
      <c r="L46" s="99"/>
    </row>
    <row r="47" spans="2:12" ht="32.25" customHeight="1">
      <c r="B47" s="21">
        <v>38</v>
      </c>
      <c r="C47" s="22" t="s">
        <v>42</v>
      </c>
      <c r="D47" s="120">
        <f>'６月'!J47</f>
        <v>2999</v>
      </c>
      <c r="E47" s="116">
        <f>'６月'!K47</f>
        <v>1907188</v>
      </c>
      <c r="F47" s="105">
        <v>1180</v>
      </c>
      <c r="G47" s="104">
        <v>375739</v>
      </c>
      <c r="H47" s="103">
        <v>1157</v>
      </c>
      <c r="I47" s="102">
        <v>505796</v>
      </c>
      <c r="J47" s="101">
        <f t="shared" si="0"/>
        <v>3022</v>
      </c>
      <c r="K47" s="100">
        <f t="shared" si="0"/>
        <v>1777131</v>
      </c>
      <c r="L47" s="99"/>
    </row>
    <row r="48" spans="2:12" ht="20.25" customHeight="1">
      <c r="B48" s="21">
        <v>39</v>
      </c>
      <c r="C48" s="22" t="s">
        <v>43</v>
      </c>
      <c r="D48" s="120">
        <f>'６月'!J48</f>
        <v>0</v>
      </c>
      <c r="E48" s="116">
        <f>'６月'!K48</f>
        <v>0</v>
      </c>
      <c r="F48" s="105">
        <v>0</v>
      </c>
      <c r="G48" s="104">
        <v>0</v>
      </c>
      <c r="H48" s="103">
        <v>0</v>
      </c>
      <c r="I48" s="102">
        <v>0</v>
      </c>
      <c r="J48" s="101">
        <f t="shared" si="0"/>
        <v>0</v>
      </c>
      <c r="K48" s="100">
        <f t="shared" si="0"/>
        <v>0</v>
      </c>
      <c r="L48" s="99"/>
    </row>
    <row r="49" spans="2:12" ht="20.25" customHeight="1" thickBot="1">
      <c r="B49" s="23">
        <v>40</v>
      </c>
      <c r="C49" s="24" t="s">
        <v>50</v>
      </c>
      <c r="D49" s="120">
        <f>'６月'!J49</f>
        <v>7661</v>
      </c>
      <c r="E49" s="116">
        <f>'６月'!K49</f>
        <v>2306106</v>
      </c>
      <c r="F49" s="98">
        <v>6459</v>
      </c>
      <c r="G49" s="97">
        <v>1999449</v>
      </c>
      <c r="H49" s="96">
        <v>6699</v>
      </c>
      <c r="I49" s="95">
        <f>1614945-1</f>
        <v>1614944</v>
      </c>
      <c r="J49" s="94">
        <f t="shared" si="0"/>
        <v>7421</v>
      </c>
      <c r="K49" s="93">
        <f t="shared" si="0"/>
        <v>2690611</v>
      </c>
      <c r="L49" s="92"/>
    </row>
    <row r="50" spans="2:12" ht="21" customHeight="1" thickBot="1" thickTop="1">
      <c r="B50" s="140" t="s">
        <v>46</v>
      </c>
      <c r="C50" s="141"/>
      <c r="D50" s="91">
        <f aca="true" t="shared" si="1" ref="D50:I50">SUM(D10:D49)</f>
        <v>329478</v>
      </c>
      <c r="E50" s="90">
        <f t="shared" si="1"/>
        <v>82226120</v>
      </c>
      <c r="F50" s="89">
        <f t="shared" si="1"/>
        <v>131967</v>
      </c>
      <c r="G50" s="87">
        <f t="shared" si="1"/>
        <v>44061667</v>
      </c>
      <c r="H50" s="89">
        <f t="shared" si="1"/>
        <v>131637</v>
      </c>
      <c r="I50" s="87">
        <f t="shared" si="1"/>
        <v>45444877</v>
      </c>
      <c r="J50" s="88">
        <f t="shared" si="0"/>
        <v>329808</v>
      </c>
      <c r="K50" s="87">
        <f t="shared" si="0"/>
        <v>80842910</v>
      </c>
      <c r="L50" s="86"/>
    </row>
    <row r="51" spans="4:11" ht="13.5">
      <c r="D51" s="139"/>
      <c r="E51" s="139"/>
      <c r="J51" s="85"/>
      <c r="K51" s="85"/>
    </row>
    <row r="52" spans="4:11" ht="13.5">
      <c r="D52" s="139"/>
      <c r="E52" s="139"/>
      <c r="J52" s="84"/>
      <c r="K52" s="84"/>
    </row>
    <row r="53" spans="4:11" ht="13.5">
      <c r="D53" s="139"/>
      <c r="E53" s="139"/>
      <c r="J53" s="139"/>
      <c r="K53" s="139"/>
    </row>
    <row r="54" spans="4:11" ht="13.5">
      <c r="D54" s="139"/>
      <c r="E54" s="139"/>
      <c r="J54" s="139"/>
      <c r="K54" s="139"/>
    </row>
    <row r="55" spans="4:11" ht="13.5">
      <c r="D55" s="75"/>
      <c r="E55" s="75"/>
      <c r="F55" s="75"/>
      <c r="G55" s="75"/>
      <c r="H55" s="75"/>
      <c r="I55" s="75"/>
      <c r="J55" s="82"/>
      <c r="K55" s="82"/>
    </row>
    <row r="56" spans="4:11" ht="13.5">
      <c r="D56" s="75"/>
      <c r="E56" s="75"/>
      <c r="F56" s="75"/>
      <c r="G56" s="75"/>
      <c r="H56" s="75"/>
      <c r="I56" s="75"/>
      <c r="J56" s="82"/>
      <c r="K56" s="82"/>
    </row>
    <row r="57" spans="4:11" ht="13.5">
      <c r="D57" s="80"/>
      <c r="E57" s="80"/>
      <c r="F57" s="80"/>
      <c r="G57" s="80"/>
      <c r="H57" s="80"/>
      <c r="I57" s="80"/>
      <c r="J57" s="80"/>
      <c r="K57" s="80"/>
    </row>
    <row r="58" spans="4:11" ht="13.5">
      <c r="D58" s="80"/>
      <c r="E58" s="80"/>
      <c r="F58" s="80"/>
      <c r="G58" s="80"/>
      <c r="H58" s="80"/>
      <c r="I58" s="80"/>
      <c r="J58" s="80"/>
      <c r="K58" s="80"/>
    </row>
    <row r="59" spans="4:11" ht="13.5">
      <c r="D59" s="80"/>
      <c r="E59" s="80"/>
      <c r="F59" s="80"/>
      <c r="G59" s="80"/>
      <c r="H59" s="80"/>
      <c r="I59" s="80"/>
      <c r="J59" s="83"/>
      <c r="K59" s="83"/>
    </row>
    <row r="60" spans="4:11" ht="13.5">
      <c r="D60" s="80"/>
      <c r="E60" s="80"/>
      <c r="F60" s="80"/>
      <c r="G60" s="80"/>
      <c r="H60" s="80"/>
      <c r="I60" s="80"/>
      <c r="J60" s="83"/>
      <c r="K60" s="83"/>
    </row>
    <row r="61" spans="4:11" ht="13.5">
      <c r="D61" s="80"/>
      <c r="E61" s="80"/>
      <c r="F61" s="80"/>
      <c r="G61" s="80"/>
      <c r="H61" s="80"/>
      <c r="I61" s="80"/>
      <c r="J61" s="80"/>
      <c r="K61" s="80"/>
    </row>
    <row r="62" spans="4:11" ht="13.5">
      <c r="D62" s="75"/>
      <c r="E62" s="75"/>
      <c r="F62" s="75"/>
      <c r="G62" s="75"/>
      <c r="H62" s="75"/>
      <c r="I62" s="75"/>
      <c r="J62" s="75"/>
      <c r="K62" s="75"/>
    </row>
    <row r="63" spans="4:11" ht="13.5">
      <c r="D63" s="75"/>
      <c r="E63" s="75"/>
      <c r="F63" s="75"/>
      <c r="G63" s="75"/>
      <c r="H63" s="75"/>
      <c r="I63" s="75"/>
      <c r="J63" s="82"/>
      <c r="K63" s="82"/>
    </row>
    <row r="64" spans="4:11" ht="13.5">
      <c r="D64" s="75"/>
      <c r="E64" s="75"/>
      <c r="F64" s="75"/>
      <c r="G64" s="75"/>
      <c r="H64" s="75"/>
      <c r="I64" s="75"/>
      <c r="J64" s="82"/>
      <c r="K64" s="82"/>
    </row>
    <row r="65" spans="4:11" ht="13.5">
      <c r="D65" s="75"/>
      <c r="E65" s="75"/>
      <c r="F65" s="75"/>
      <c r="G65" s="75"/>
      <c r="H65" s="75"/>
      <c r="I65" s="75"/>
      <c r="J65" s="75"/>
      <c r="K65" s="75"/>
    </row>
  </sheetData>
  <sheetProtection/>
  <mergeCells count="9">
    <mergeCell ref="B50:C50"/>
    <mergeCell ref="B2:L2"/>
    <mergeCell ref="J4:L4"/>
    <mergeCell ref="J5:L5"/>
    <mergeCell ref="D7:E7"/>
    <mergeCell ref="F7:G7"/>
    <mergeCell ref="H7:I7"/>
    <mergeCell ref="J7:K7"/>
    <mergeCell ref="L7:L9"/>
  </mergeCells>
  <printOptions horizontalCentered="1"/>
  <pageMargins left="0.3937007874015748" right="0.3937007874015748" top="0.5905511811023623" bottom="0.3937007874015748" header="0" footer="0"/>
  <pageSetup fitToHeight="1" fitToWidth="1" horizontalDpi="300" verticalDpi="300" orientation="portrait" paperSize="9" scale="82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65"/>
  <sheetViews>
    <sheetView zoomScalePageLayoutView="0" workbookViewId="0" topLeftCell="A1">
      <pane xSplit="5" ySplit="9" topLeftCell="F31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G54" sqref="G54"/>
    </sheetView>
  </sheetViews>
  <sheetFormatPr defaultColWidth="9.00390625" defaultRowHeight="13.5"/>
  <cols>
    <col min="1" max="1" width="4.375" style="1" customWidth="1"/>
    <col min="2" max="2" width="3.375" style="1" customWidth="1"/>
    <col min="3" max="3" width="15.125" style="1" customWidth="1"/>
    <col min="4" max="4" width="10.00390625" style="1" customWidth="1"/>
    <col min="5" max="5" width="11.25390625" style="1" customWidth="1"/>
    <col min="6" max="6" width="10.00390625" style="1" customWidth="1"/>
    <col min="7" max="7" width="11.25390625" style="1" customWidth="1"/>
    <col min="8" max="8" width="10.00390625" style="1" customWidth="1"/>
    <col min="9" max="9" width="11.25390625" style="1" customWidth="1"/>
    <col min="10" max="10" width="10.00390625" style="1" customWidth="1"/>
    <col min="11" max="11" width="11.25390625" style="1" customWidth="1"/>
    <col min="12" max="12" width="9.375" style="1" customWidth="1"/>
    <col min="13" max="13" width="4.00390625" style="1" customWidth="1"/>
    <col min="14" max="16384" width="9.00390625" style="1" customWidth="1"/>
  </cols>
  <sheetData>
    <row r="2" spans="2:12" ht="18.75" customHeight="1">
      <c r="B2" s="142" t="s">
        <v>47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2:12" ht="15" customHeight="1">
      <c r="B3" s="28" t="str">
        <f>'１月'!$B$3</f>
        <v>平成２８年</v>
      </c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2:12" ht="18" customHeight="1">
      <c r="B4" s="27"/>
      <c r="C4" s="54" t="s">
        <v>69</v>
      </c>
      <c r="E4" s="28" t="s">
        <v>54</v>
      </c>
      <c r="I4" s="121" t="s">
        <v>52</v>
      </c>
      <c r="J4" s="152" t="s">
        <v>57</v>
      </c>
      <c r="K4" s="152"/>
      <c r="L4" s="152"/>
    </row>
    <row r="5" spans="3:12" ht="18" customHeight="1">
      <c r="C5" s="1" t="s">
        <v>59</v>
      </c>
      <c r="I5" s="2" t="s">
        <v>53</v>
      </c>
      <c r="J5" s="148"/>
      <c r="K5" s="148"/>
      <c r="L5" s="148"/>
    </row>
    <row r="6" spans="5:12" ht="18" customHeight="1" thickBot="1">
      <c r="E6" s="1" t="s">
        <v>58</v>
      </c>
      <c r="I6" s="2"/>
      <c r="J6" s="55"/>
      <c r="K6" s="55"/>
      <c r="L6" s="55"/>
    </row>
    <row r="7" spans="2:12" ht="18.75" customHeight="1">
      <c r="B7" s="3"/>
      <c r="C7" s="4" t="s">
        <v>48</v>
      </c>
      <c r="D7" s="143" t="s">
        <v>0</v>
      </c>
      <c r="E7" s="144"/>
      <c r="F7" s="145" t="s">
        <v>1</v>
      </c>
      <c r="G7" s="146"/>
      <c r="H7" s="144" t="s">
        <v>2</v>
      </c>
      <c r="I7" s="144"/>
      <c r="J7" s="145" t="s">
        <v>3</v>
      </c>
      <c r="K7" s="146"/>
      <c r="L7" s="149" t="s">
        <v>4</v>
      </c>
    </row>
    <row r="8" spans="2:12" ht="18.75" customHeight="1">
      <c r="B8" s="5"/>
      <c r="C8" s="6"/>
      <c r="D8" s="7" t="s">
        <v>44</v>
      </c>
      <c r="E8" s="8" t="s">
        <v>45</v>
      </c>
      <c r="F8" s="9" t="s">
        <v>44</v>
      </c>
      <c r="G8" s="10" t="s">
        <v>45</v>
      </c>
      <c r="H8" s="11" t="s">
        <v>44</v>
      </c>
      <c r="I8" s="8" t="s">
        <v>45</v>
      </c>
      <c r="J8" s="9" t="s">
        <v>44</v>
      </c>
      <c r="K8" s="10" t="s">
        <v>45</v>
      </c>
      <c r="L8" s="150"/>
    </row>
    <row r="9" spans="2:12" ht="18.75" customHeight="1" thickBot="1">
      <c r="B9" s="12" t="s">
        <v>49</v>
      </c>
      <c r="C9" s="13"/>
      <c r="D9" s="14" t="s">
        <v>55</v>
      </c>
      <c r="E9" s="15" t="s">
        <v>5</v>
      </c>
      <c r="F9" s="16" t="s">
        <v>55</v>
      </c>
      <c r="G9" s="17" t="s">
        <v>5</v>
      </c>
      <c r="H9" s="18" t="s">
        <v>55</v>
      </c>
      <c r="I9" s="15" t="s">
        <v>5</v>
      </c>
      <c r="J9" s="16" t="s">
        <v>55</v>
      </c>
      <c r="K9" s="17" t="s">
        <v>5</v>
      </c>
      <c r="L9" s="151"/>
    </row>
    <row r="10" spans="2:14" ht="20.25" customHeight="1" thickTop="1">
      <c r="B10" s="19">
        <v>1</v>
      </c>
      <c r="C10" s="20" t="s">
        <v>6</v>
      </c>
      <c r="D10" s="120">
        <f>'７月'!J10</f>
        <v>36437</v>
      </c>
      <c r="E10" s="116">
        <f>'７月'!K10</f>
        <v>9317499</v>
      </c>
      <c r="F10" s="119">
        <v>942</v>
      </c>
      <c r="G10" s="118">
        <v>62589</v>
      </c>
      <c r="H10" s="117">
        <v>2210</v>
      </c>
      <c r="I10" s="116">
        <v>361796</v>
      </c>
      <c r="J10" s="115">
        <f aca="true" t="shared" si="0" ref="J10:K50">D10+F10-H10</f>
        <v>35169</v>
      </c>
      <c r="K10" s="114">
        <f t="shared" si="0"/>
        <v>9018292</v>
      </c>
      <c r="L10" s="113"/>
      <c r="N10" s="60"/>
    </row>
    <row r="11" spans="2:12" ht="20.25" customHeight="1">
      <c r="B11" s="21">
        <v>2</v>
      </c>
      <c r="C11" s="22" t="s">
        <v>7</v>
      </c>
      <c r="D11" s="120">
        <f>'７月'!J11</f>
        <v>39</v>
      </c>
      <c r="E11" s="116">
        <f>'７月'!K11</f>
        <v>2166</v>
      </c>
      <c r="F11" s="105">
        <v>375</v>
      </c>
      <c r="G11" s="104">
        <v>15120</v>
      </c>
      <c r="H11" s="103">
        <v>10</v>
      </c>
      <c r="I11" s="102">
        <v>500</v>
      </c>
      <c r="J11" s="101">
        <f t="shared" si="0"/>
        <v>404</v>
      </c>
      <c r="K11" s="100">
        <f t="shared" si="0"/>
        <v>16786</v>
      </c>
      <c r="L11" s="99"/>
    </row>
    <row r="12" spans="2:12" ht="20.25" customHeight="1">
      <c r="B12" s="21">
        <v>3</v>
      </c>
      <c r="C12" s="22" t="s">
        <v>8</v>
      </c>
      <c r="D12" s="120">
        <f>'７月'!J12</f>
        <v>0</v>
      </c>
      <c r="E12" s="116">
        <f>'７月'!K12</f>
        <v>0</v>
      </c>
      <c r="F12" s="105">
        <v>0</v>
      </c>
      <c r="G12" s="104">
        <v>0</v>
      </c>
      <c r="H12" s="103">
        <v>0</v>
      </c>
      <c r="I12" s="102">
        <v>0</v>
      </c>
      <c r="J12" s="101">
        <f t="shared" si="0"/>
        <v>0</v>
      </c>
      <c r="K12" s="100">
        <f t="shared" si="0"/>
        <v>0</v>
      </c>
      <c r="L12" s="99"/>
    </row>
    <row r="13" spans="2:12" ht="20.25" customHeight="1">
      <c r="B13" s="21">
        <v>4</v>
      </c>
      <c r="C13" s="22" t="s">
        <v>9</v>
      </c>
      <c r="D13" s="120">
        <f>'７月'!J13</f>
        <v>1102</v>
      </c>
      <c r="E13" s="116">
        <f>'７月'!K13</f>
        <v>150770</v>
      </c>
      <c r="F13" s="105">
        <v>210</v>
      </c>
      <c r="G13" s="104">
        <v>34841</v>
      </c>
      <c r="H13" s="103">
        <v>188</v>
      </c>
      <c r="I13" s="102">
        <v>28607</v>
      </c>
      <c r="J13" s="101">
        <f t="shared" si="0"/>
        <v>1124</v>
      </c>
      <c r="K13" s="100">
        <f t="shared" si="0"/>
        <v>157004</v>
      </c>
      <c r="L13" s="99"/>
    </row>
    <row r="14" spans="2:12" ht="20.25" customHeight="1">
      <c r="B14" s="21">
        <v>5</v>
      </c>
      <c r="C14" s="22" t="s">
        <v>10</v>
      </c>
      <c r="D14" s="120">
        <f>'７月'!J14</f>
        <v>0</v>
      </c>
      <c r="E14" s="116">
        <f>'７月'!K14</f>
        <v>0</v>
      </c>
      <c r="F14" s="105">
        <v>0</v>
      </c>
      <c r="G14" s="104">
        <v>0</v>
      </c>
      <c r="H14" s="103">
        <v>0</v>
      </c>
      <c r="I14" s="102">
        <v>0</v>
      </c>
      <c r="J14" s="101">
        <f t="shared" si="0"/>
        <v>0</v>
      </c>
      <c r="K14" s="100">
        <f t="shared" si="0"/>
        <v>0</v>
      </c>
      <c r="L14" s="99"/>
    </row>
    <row r="15" spans="2:12" ht="20.25" customHeight="1">
      <c r="B15" s="21">
        <v>6</v>
      </c>
      <c r="C15" s="22" t="s">
        <v>11</v>
      </c>
      <c r="D15" s="120">
        <f>'７月'!J15</f>
        <v>0</v>
      </c>
      <c r="E15" s="116">
        <f>'７月'!K15</f>
        <v>0</v>
      </c>
      <c r="F15" s="105">
        <v>0</v>
      </c>
      <c r="G15" s="104">
        <v>0</v>
      </c>
      <c r="H15" s="103">
        <v>0</v>
      </c>
      <c r="I15" s="102">
        <v>0</v>
      </c>
      <c r="J15" s="101">
        <f t="shared" si="0"/>
        <v>0</v>
      </c>
      <c r="K15" s="100">
        <f t="shared" si="0"/>
        <v>0</v>
      </c>
      <c r="L15" s="99"/>
    </row>
    <row r="16" spans="2:12" ht="20.25" customHeight="1">
      <c r="B16" s="21">
        <v>7</v>
      </c>
      <c r="C16" s="22" t="s">
        <v>12</v>
      </c>
      <c r="D16" s="120">
        <f>'７月'!J16</f>
        <v>0</v>
      </c>
      <c r="E16" s="116">
        <f>'７月'!K16</f>
        <v>0</v>
      </c>
      <c r="F16" s="105">
        <v>0</v>
      </c>
      <c r="G16" s="104">
        <v>0</v>
      </c>
      <c r="H16" s="103">
        <v>0</v>
      </c>
      <c r="I16" s="102">
        <v>0</v>
      </c>
      <c r="J16" s="101">
        <f t="shared" si="0"/>
        <v>0</v>
      </c>
      <c r="K16" s="100">
        <f t="shared" si="0"/>
        <v>0</v>
      </c>
      <c r="L16" s="99"/>
    </row>
    <row r="17" spans="2:12" ht="20.25" customHeight="1">
      <c r="B17" s="21">
        <v>8</v>
      </c>
      <c r="C17" s="22" t="s">
        <v>13</v>
      </c>
      <c r="D17" s="120">
        <f>'７月'!J17</f>
        <v>0</v>
      </c>
      <c r="E17" s="116">
        <f>'７月'!K17</f>
        <v>0</v>
      </c>
      <c r="F17" s="105">
        <v>0</v>
      </c>
      <c r="G17" s="104">
        <v>0</v>
      </c>
      <c r="H17" s="103">
        <v>0</v>
      </c>
      <c r="I17" s="102">
        <v>0</v>
      </c>
      <c r="J17" s="101">
        <f t="shared" si="0"/>
        <v>0</v>
      </c>
      <c r="K17" s="100">
        <f t="shared" si="0"/>
        <v>0</v>
      </c>
      <c r="L17" s="99"/>
    </row>
    <row r="18" spans="2:12" ht="20.25" customHeight="1">
      <c r="B18" s="21">
        <v>9</v>
      </c>
      <c r="C18" s="22" t="s">
        <v>14</v>
      </c>
      <c r="D18" s="120">
        <f>'７月'!J18</f>
        <v>44</v>
      </c>
      <c r="E18" s="116">
        <f>'７月'!K18</f>
        <v>6134</v>
      </c>
      <c r="F18" s="105">
        <v>60</v>
      </c>
      <c r="G18" s="104">
        <v>5700</v>
      </c>
      <c r="H18" s="103">
        <v>64</v>
      </c>
      <c r="I18" s="102">
        <v>6514</v>
      </c>
      <c r="J18" s="101">
        <f t="shared" si="0"/>
        <v>40</v>
      </c>
      <c r="K18" s="100">
        <f t="shared" si="0"/>
        <v>5320</v>
      </c>
      <c r="L18" s="99"/>
    </row>
    <row r="19" spans="2:12" ht="20.25" customHeight="1">
      <c r="B19" s="21">
        <v>10</v>
      </c>
      <c r="C19" s="22" t="s">
        <v>15</v>
      </c>
      <c r="D19" s="120">
        <f>'７月'!J19</f>
        <v>0</v>
      </c>
      <c r="E19" s="116">
        <f>'７月'!K19</f>
        <v>0</v>
      </c>
      <c r="F19" s="105">
        <v>0</v>
      </c>
      <c r="G19" s="104">
        <v>0</v>
      </c>
      <c r="H19" s="103">
        <v>0</v>
      </c>
      <c r="I19" s="102">
        <v>0</v>
      </c>
      <c r="J19" s="101">
        <f t="shared" si="0"/>
        <v>0</v>
      </c>
      <c r="K19" s="100">
        <f t="shared" si="0"/>
        <v>0</v>
      </c>
      <c r="L19" s="99"/>
    </row>
    <row r="20" spans="2:12" ht="20.25" customHeight="1">
      <c r="B20" s="21">
        <v>11</v>
      </c>
      <c r="C20" s="22" t="s">
        <v>16</v>
      </c>
      <c r="D20" s="120">
        <f>'７月'!J20</f>
        <v>1</v>
      </c>
      <c r="E20" s="116">
        <f>'７月'!K20</f>
        <v>3</v>
      </c>
      <c r="F20" s="105">
        <v>0</v>
      </c>
      <c r="G20" s="104">
        <v>0</v>
      </c>
      <c r="H20" s="103">
        <v>1</v>
      </c>
      <c r="I20" s="102">
        <v>3</v>
      </c>
      <c r="J20" s="101">
        <f t="shared" si="0"/>
        <v>0</v>
      </c>
      <c r="K20" s="100">
        <f t="shared" si="0"/>
        <v>0</v>
      </c>
      <c r="L20" s="99"/>
    </row>
    <row r="21" spans="2:12" ht="20.25" customHeight="1">
      <c r="B21" s="21">
        <v>12</v>
      </c>
      <c r="C21" s="22" t="s">
        <v>17</v>
      </c>
      <c r="D21" s="120">
        <f>'７月'!J21</f>
        <v>0</v>
      </c>
      <c r="E21" s="116">
        <f>'７月'!K21</f>
        <v>0</v>
      </c>
      <c r="F21" s="105">
        <v>0</v>
      </c>
      <c r="G21" s="104">
        <v>0</v>
      </c>
      <c r="H21" s="103">
        <v>0</v>
      </c>
      <c r="I21" s="102">
        <v>0</v>
      </c>
      <c r="J21" s="101">
        <f t="shared" si="0"/>
        <v>0</v>
      </c>
      <c r="K21" s="100">
        <f t="shared" si="0"/>
        <v>0</v>
      </c>
      <c r="L21" s="99"/>
    </row>
    <row r="22" spans="2:12" ht="20.25" customHeight="1">
      <c r="B22" s="21">
        <v>13</v>
      </c>
      <c r="C22" s="22" t="s">
        <v>18</v>
      </c>
      <c r="D22" s="120">
        <f>'７月'!J22</f>
        <v>7401</v>
      </c>
      <c r="E22" s="116">
        <f>'７月'!K22</f>
        <v>1005120</v>
      </c>
      <c r="F22" s="105">
        <v>1699</v>
      </c>
      <c r="G22" s="104">
        <v>246140</v>
      </c>
      <c r="H22" s="103">
        <v>1825</v>
      </c>
      <c r="I22" s="102">
        <v>267080</v>
      </c>
      <c r="J22" s="101">
        <f t="shared" si="0"/>
        <v>7275</v>
      </c>
      <c r="K22" s="100">
        <f t="shared" si="0"/>
        <v>984180</v>
      </c>
      <c r="L22" s="99"/>
    </row>
    <row r="23" spans="2:12" s="60" customFormat="1" ht="20.25" customHeight="1">
      <c r="B23" s="61">
        <v>14</v>
      </c>
      <c r="C23" s="62" t="s">
        <v>19</v>
      </c>
      <c r="D23" s="120">
        <f>'７月'!J23</f>
        <v>2971</v>
      </c>
      <c r="E23" s="116">
        <f>'７月'!K23</f>
        <v>2726276</v>
      </c>
      <c r="F23" s="112">
        <v>1129</v>
      </c>
      <c r="G23" s="111">
        <v>1132950</v>
      </c>
      <c r="H23" s="110">
        <v>1115</v>
      </c>
      <c r="I23" s="109">
        <v>1294320</v>
      </c>
      <c r="J23" s="108">
        <f t="shared" si="0"/>
        <v>2985</v>
      </c>
      <c r="K23" s="107">
        <f t="shared" si="0"/>
        <v>2564906</v>
      </c>
      <c r="L23" s="106"/>
    </row>
    <row r="24" spans="2:12" ht="20.25" customHeight="1">
      <c r="B24" s="21">
        <v>15</v>
      </c>
      <c r="C24" s="22" t="s">
        <v>20</v>
      </c>
      <c r="D24" s="120">
        <f>'７月'!J24</f>
        <v>25624</v>
      </c>
      <c r="E24" s="116">
        <f>'７月'!K24</f>
        <v>3138406</v>
      </c>
      <c r="F24" s="105">
        <v>1152</v>
      </c>
      <c r="G24" s="104">
        <v>579308</v>
      </c>
      <c r="H24" s="103">
        <v>1177</v>
      </c>
      <c r="I24" s="102">
        <v>573586</v>
      </c>
      <c r="J24" s="101">
        <f t="shared" si="0"/>
        <v>25599</v>
      </c>
      <c r="K24" s="100">
        <f t="shared" si="0"/>
        <v>3144128</v>
      </c>
      <c r="L24" s="99"/>
    </row>
    <row r="25" spans="2:12" ht="20.25" customHeight="1">
      <c r="B25" s="21">
        <v>16</v>
      </c>
      <c r="C25" s="22" t="s">
        <v>21</v>
      </c>
      <c r="D25" s="120">
        <f>'７月'!J25</f>
        <v>9438</v>
      </c>
      <c r="E25" s="116">
        <f>'７月'!K25</f>
        <v>5398483</v>
      </c>
      <c r="F25" s="105">
        <v>4896</v>
      </c>
      <c r="G25" s="104">
        <v>1166202</v>
      </c>
      <c r="H25" s="103">
        <f>6043+2</f>
        <v>6045</v>
      </c>
      <c r="I25" s="102">
        <f>1308+2500909</f>
        <v>2502217</v>
      </c>
      <c r="J25" s="101">
        <f t="shared" si="0"/>
        <v>8289</v>
      </c>
      <c r="K25" s="100">
        <f t="shared" si="0"/>
        <v>4062468</v>
      </c>
      <c r="L25" s="99"/>
    </row>
    <row r="26" spans="2:12" ht="20.25" customHeight="1">
      <c r="B26" s="21">
        <v>17</v>
      </c>
      <c r="C26" s="22" t="s">
        <v>22</v>
      </c>
      <c r="D26" s="120">
        <f>'７月'!J26</f>
        <v>19627</v>
      </c>
      <c r="E26" s="116">
        <f>'７月'!K26</f>
        <v>5059262</v>
      </c>
      <c r="F26" s="105">
        <v>5813</v>
      </c>
      <c r="G26" s="104">
        <v>2272669</v>
      </c>
      <c r="H26" s="103">
        <v>6291</v>
      </c>
      <c r="I26" s="102">
        <v>1179186</v>
      </c>
      <c r="J26" s="101">
        <f t="shared" si="0"/>
        <v>19149</v>
      </c>
      <c r="K26" s="100">
        <f t="shared" si="0"/>
        <v>6152745</v>
      </c>
      <c r="L26" s="99"/>
    </row>
    <row r="27" spans="2:12" ht="20.25" customHeight="1">
      <c r="B27" s="21">
        <v>18</v>
      </c>
      <c r="C27" s="22" t="s">
        <v>51</v>
      </c>
      <c r="D27" s="120">
        <f>'７月'!J27</f>
        <v>2084</v>
      </c>
      <c r="E27" s="116">
        <f>'７月'!K27</f>
        <v>333000</v>
      </c>
      <c r="F27" s="105">
        <v>234</v>
      </c>
      <c r="G27" s="104">
        <v>64550</v>
      </c>
      <c r="H27" s="103">
        <v>227</v>
      </c>
      <c r="I27" s="102">
        <v>64250</v>
      </c>
      <c r="J27" s="101">
        <f t="shared" si="0"/>
        <v>2091</v>
      </c>
      <c r="K27" s="100">
        <f t="shared" si="0"/>
        <v>333300</v>
      </c>
      <c r="L27" s="99"/>
    </row>
    <row r="28" spans="2:12" ht="20.25" customHeight="1">
      <c r="B28" s="21">
        <v>19</v>
      </c>
      <c r="C28" s="22" t="s">
        <v>23</v>
      </c>
      <c r="D28" s="120">
        <f>'７月'!J28</f>
        <v>650</v>
      </c>
      <c r="E28" s="116">
        <f>'７月'!K28</f>
        <v>71500</v>
      </c>
      <c r="F28" s="105">
        <v>850</v>
      </c>
      <c r="G28" s="104">
        <v>93500</v>
      </c>
      <c r="H28" s="103">
        <v>880</v>
      </c>
      <c r="I28" s="102">
        <v>96800</v>
      </c>
      <c r="J28" s="101">
        <f t="shared" si="0"/>
        <v>620</v>
      </c>
      <c r="K28" s="100">
        <f t="shared" si="0"/>
        <v>68200</v>
      </c>
      <c r="L28" s="99"/>
    </row>
    <row r="29" spans="2:12" s="60" customFormat="1" ht="20.25" customHeight="1">
      <c r="B29" s="61">
        <v>20</v>
      </c>
      <c r="C29" s="62" t="s">
        <v>24</v>
      </c>
      <c r="D29" s="120">
        <f>'７月'!J29</f>
        <v>1057</v>
      </c>
      <c r="E29" s="116">
        <f>'７月'!K29</f>
        <v>314411</v>
      </c>
      <c r="F29" s="74">
        <f>24+25</f>
        <v>49</v>
      </c>
      <c r="G29" s="111">
        <f>45960+5000</f>
        <v>50960</v>
      </c>
      <c r="H29" s="110">
        <f>26+22</f>
        <v>48</v>
      </c>
      <c r="I29" s="109">
        <f>49790+4400</f>
        <v>54190</v>
      </c>
      <c r="J29" s="108">
        <f t="shared" si="0"/>
        <v>1058</v>
      </c>
      <c r="K29" s="107">
        <f t="shared" si="0"/>
        <v>311181</v>
      </c>
      <c r="L29" s="106"/>
    </row>
    <row r="30" spans="2:12" s="60" customFormat="1" ht="20.25" customHeight="1">
      <c r="B30" s="61">
        <v>21</v>
      </c>
      <c r="C30" s="62" t="s">
        <v>25</v>
      </c>
      <c r="D30" s="120">
        <f>'７月'!J30</f>
        <v>1788</v>
      </c>
      <c r="E30" s="116">
        <f>'７月'!K30</f>
        <v>806465</v>
      </c>
      <c r="F30" s="112">
        <f>690+329</f>
        <v>1019</v>
      </c>
      <c r="G30" s="111">
        <f>54071+198630</f>
        <v>252701</v>
      </c>
      <c r="H30" s="110">
        <f>789+341</f>
        <v>1130</v>
      </c>
      <c r="I30" s="109">
        <f>62409+192720</f>
        <v>255129</v>
      </c>
      <c r="J30" s="108">
        <f t="shared" si="0"/>
        <v>1677</v>
      </c>
      <c r="K30" s="107">
        <f t="shared" si="0"/>
        <v>804037</v>
      </c>
      <c r="L30" s="106"/>
    </row>
    <row r="31" spans="2:12" s="60" customFormat="1" ht="20.25" customHeight="1">
      <c r="B31" s="61">
        <v>22</v>
      </c>
      <c r="C31" s="62" t="s">
        <v>26</v>
      </c>
      <c r="D31" s="120">
        <f>'７月'!J31</f>
        <v>0</v>
      </c>
      <c r="E31" s="116">
        <f>'７月'!K31</f>
        <v>0</v>
      </c>
      <c r="F31" s="112">
        <v>0</v>
      </c>
      <c r="G31" s="111">
        <v>0</v>
      </c>
      <c r="H31" s="110">
        <v>0</v>
      </c>
      <c r="I31" s="109">
        <v>0</v>
      </c>
      <c r="J31" s="108">
        <f t="shared" si="0"/>
        <v>0</v>
      </c>
      <c r="K31" s="107">
        <f t="shared" si="0"/>
        <v>0</v>
      </c>
      <c r="L31" s="106"/>
    </row>
    <row r="32" spans="2:12" s="60" customFormat="1" ht="20.25" customHeight="1">
      <c r="B32" s="61">
        <v>23</v>
      </c>
      <c r="C32" s="62" t="s">
        <v>27</v>
      </c>
      <c r="D32" s="120">
        <f>'７月'!J32</f>
        <v>23</v>
      </c>
      <c r="E32" s="116">
        <f>'７月'!K32</f>
        <v>25387</v>
      </c>
      <c r="F32" s="112">
        <v>11</v>
      </c>
      <c r="G32" s="111">
        <v>21299</v>
      </c>
      <c r="H32" s="110">
        <v>14</v>
      </c>
      <c r="I32" s="109">
        <v>30686</v>
      </c>
      <c r="J32" s="108">
        <f t="shared" si="0"/>
        <v>20</v>
      </c>
      <c r="K32" s="107">
        <f t="shared" si="0"/>
        <v>16000</v>
      </c>
      <c r="L32" s="106"/>
    </row>
    <row r="33" spans="2:12" s="60" customFormat="1" ht="20.25" customHeight="1">
      <c r="B33" s="61">
        <v>24</v>
      </c>
      <c r="C33" s="62" t="s">
        <v>28</v>
      </c>
      <c r="D33" s="120">
        <f>'７月'!J33</f>
        <v>22498</v>
      </c>
      <c r="E33" s="116">
        <f>'７月'!K33</f>
        <v>7146592</v>
      </c>
      <c r="F33" s="112">
        <v>15130</v>
      </c>
      <c r="G33" s="111">
        <v>4370302</v>
      </c>
      <c r="H33" s="72">
        <v>15841</v>
      </c>
      <c r="I33" s="109">
        <v>4749827</v>
      </c>
      <c r="J33" s="108">
        <f t="shared" si="0"/>
        <v>21787</v>
      </c>
      <c r="K33" s="107">
        <f t="shared" si="0"/>
        <v>6767067</v>
      </c>
      <c r="L33" s="106"/>
    </row>
    <row r="34" spans="2:12" s="60" customFormat="1" ht="32.25" customHeight="1">
      <c r="B34" s="61">
        <v>25</v>
      </c>
      <c r="C34" s="62" t="s">
        <v>29</v>
      </c>
      <c r="D34" s="120">
        <f>'７月'!J34</f>
        <v>105829</v>
      </c>
      <c r="E34" s="116">
        <f>'７月'!K34</f>
        <v>7862388</v>
      </c>
      <c r="F34" s="112">
        <f>286+43345</f>
        <v>43631</v>
      </c>
      <c r="G34" s="111">
        <f>282000+5501528</f>
        <v>5783528</v>
      </c>
      <c r="H34" s="110">
        <f>275+42038</f>
        <v>42313</v>
      </c>
      <c r="I34" s="109">
        <f>276900+5417481</f>
        <v>5694381</v>
      </c>
      <c r="J34" s="108">
        <f t="shared" si="0"/>
        <v>107147</v>
      </c>
      <c r="K34" s="107">
        <f t="shared" si="0"/>
        <v>7951535</v>
      </c>
      <c r="L34" s="106"/>
    </row>
    <row r="35" spans="2:12" s="60" customFormat="1" ht="20.25" customHeight="1">
      <c r="B35" s="61">
        <v>26</v>
      </c>
      <c r="C35" s="62" t="s">
        <v>30</v>
      </c>
      <c r="D35" s="120">
        <f>'７月'!J35</f>
        <v>5328</v>
      </c>
      <c r="E35" s="116">
        <f>'７月'!K35</f>
        <v>3656509</v>
      </c>
      <c r="F35" s="112">
        <v>636</v>
      </c>
      <c r="G35" s="111">
        <v>100276</v>
      </c>
      <c r="H35" s="110">
        <v>1155</v>
      </c>
      <c r="I35" s="109">
        <v>260418</v>
      </c>
      <c r="J35" s="108">
        <f t="shared" si="0"/>
        <v>4809</v>
      </c>
      <c r="K35" s="107">
        <f t="shared" si="0"/>
        <v>3496367</v>
      </c>
      <c r="L35" s="106"/>
    </row>
    <row r="36" spans="2:12" s="60" customFormat="1" ht="20.25" customHeight="1">
      <c r="B36" s="61">
        <v>27</v>
      </c>
      <c r="C36" s="62" t="s">
        <v>31</v>
      </c>
      <c r="D36" s="120">
        <f>'７月'!J36</f>
        <v>282</v>
      </c>
      <c r="E36" s="116">
        <f>'７月'!K36</f>
        <v>56840</v>
      </c>
      <c r="F36" s="112">
        <v>225</v>
      </c>
      <c r="G36" s="111">
        <v>44960</v>
      </c>
      <c r="H36" s="110">
        <v>261</v>
      </c>
      <c r="I36" s="109">
        <v>52160</v>
      </c>
      <c r="J36" s="108">
        <f t="shared" si="0"/>
        <v>246</v>
      </c>
      <c r="K36" s="107">
        <f t="shared" si="0"/>
        <v>49640</v>
      </c>
      <c r="L36" s="106"/>
    </row>
    <row r="37" spans="2:12" s="60" customFormat="1" ht="20.25" customHeight="1">
      <c r="B37" s="61">
        <v>28</v>
      </c>
      <c r="C37" s="62" t="s">
        <v>33</v>
      </c>
      <c r="D37" s="120">
        <f>'７月'!J37</f>
        <v>0</v>
      </c>
      <c r="E37" s="116">
        <f>'７月'!K37</f>
        <v>0</v>
      </c>
      <c r="F37" s="112">
        <v>0</v>
      </c>
      <c r="G37" s="111">
        <v>0</v>
      </c>
      <c r="H37" s="110">
        <v>0</v>
      </c>
      <c r="I37" s="109">
        <v>0</v>
      </c>
      <c r="J37" s="108">
        <f t="shared" si="0"/>
        <v>0</v>
      </c>
      <c r="K37" s="107">
        <f t="shared" si="0"/>
        <v>0</v>
      </c>
      <c r="L37" s="106"/>
    </row>
    <row r="38" spans="2:12" s="60" customFormat="1" ht="20.25" customHeight="1">
      <c r="B38" s="61">
        <v>29</v>
      </c>
      <c r="C38" s="62" t="s">
        <v>32</v>
      </c>
      <c r="D38" s="120">
        <f>'７月'!J38</f>
        <v>591</v>
      </c>
      <c r="E38" s="116">
        <f>'７月'!K38</f>
        <v>122480</v>
      </c>
      <c r="F38" s="112">
        <v>520</v>
      </c>
      <c r="G38" s="111">
        <v>105521</v>
      </c>
      <c r="H38" s="110">
        <v>156</v>
      </c>
      <c r="I38" s="109">
        <v>29961</v>
      </c>
      <c r="J38" s="108">
        <f t="shared" si="0"/>
        <v>955</v>
      </c>
      <c r="K38" s="107">
        <f t="shared" si="0"/>
        <v>198040</v>
      </c>
      <c r="L38" s="106"/>
    </row>
    <row r="39" spans="2:12" s="60" customFormat="1" ht="20.25" customHeight="1">
      <c r="B39" s="61">
        <v>30</v>
      </c>
      <c r="C39" s="62" t="s">
        <v>34</v>
      </c>
      <c r="D39" s="120">
        <f>'７月'!J39</f>
        <v>1204</v>
      </c>
      <c r="E39" s="116">
        <f>'７月'!K39</f>
        <v>1324400</v>
      </c>
      <c r="F39" s="112">
        <v>120</v>
      </c>
      <c r="G39" s="111">
        <v>132000</v>
      </c>
      <c r="H39" s="110">
        <v>160</v>
      </c>
      <c r="I39" s="109">
        <v>176000</v>
      </c>
      <c r="J39" s="108">
        <f t="shared" si="0"/>
        <v>1164</v>
      </c>
      <c r="K39" s="107">
        <f t="shared" si="0"/>
        <v>1280400</v>
      </c>
      <c r="L39" s="106"/>
    </row>
    <row r="40" spans="2:12" s="60" customFormat="1" ht="20.25" customHeight="1">
      <c r="B40" s="61">
        <v>31</v>
      </c>
      <c r="C40" s="62" t="s">
        <v>35</v>
      </c>
      <c r="D40" s="120">
        <f>'７月'!J40</f>
        <v>0</v>
      </c>
      <c r="E40" s="116">
        <f>'７月'!K40</f>
        <v>0</v>
      </c>
      <c r="F40" s="112">
        <v>0</v>
      </c>
      <c r="G40" s="111">
        <v>0</v>
      </c>
      <c r="H40" s="110">
        <v>0</v>
      </c>
      <c r="I40" s="109">
        <v>0</v>
      </c>
      <c r="J40" s="108">
        <f t="shared" si="0"/>
        <v>0</v>
      </c>
      <c r="K40" s="107">
        <f t="shared" si="0"/>
        <v>0</v>
      </c>
      <c r="L40" s="106"/>
    </row>
    <row r="41" spans="2:12" s="60" customFormat="1" ht="20.25" customHeight="1">
      <c r="B41" s="61">
        <v>32</v>
      </c>
      <c r="C41" s="62" t="s">
        <v>36</v>
      </c>
      <c r="D41" s="120">
        <f>'７月'!J41</f>
        <v>0</v>
      </c>
      <c r="E41" s="116">
        <f>'７月'!K41</f>
        <v>0</v>
      </c>
      <c r="F41" s="112">
        <v>0</v>
      </c>
      <c r="G41" s="111">
        <v>0</v>
      </c>
      <c r="H41" s="110">
        <v>0</v>
      </c>
      <c r="I41" s="109">
        <v>0</v>
      </c>
      <c r="J41" s="108">
        <f t="shared" si="0"/>
        <v>0</v>
      </c>
      <c r="K41" s="107">
        <f t="shared" si="0"/>
        <v>0</v>
      </c>
      <c r="L41" s="106"/>
    </row>
    <row r="42" spans="2:12" s="60" customFormat="1" ht="20.25" customHeight="1">
      <c r="B42" s="61">
        <v>33</v>
      </c>
      <c r="C42" s="62" t="s">
        <v>37</v>
      </c>
      <c r="D42" s="120">
        <f>'７月'!J42</f>
        <v>51470</v>
      </c>
      <c r="E42" s="116">
        <f>'７月'!K42</f>
        <v>9463756</v>
      </c>
      <c r="F42" s="112">
        <v>20146</v>
      </c>
      <c r="G42" s="111">
        <v>6326430</v>
      </c>
      <c r="H42" s="110">
        <v>23413</v>
      </c>
      <c r="I42" s="109">
        <v>7046658</v>
      </c>
      <c r="J42" s="108">
        <f t="shared" si="0"/>
        <v>48203</v>
      </c>
      <c r="K42" s="107">
        <f t="shared" si="0"/>
        <v>8743528</v>
      </c>
      <c r="L42" s="106"/>
    </row>
    <row r="43" spans="2:12" s="60" customFormat="1" ht="33" customHeight="1">
      <c r="B43" s="61">
        <v>34</v>
      </c>
      <c r="C43" s="62" t="s">
        <v>38</v>
      </c>
      <c r="D43" s="120">
        <f>'７月'!J43</f>
        <v>9327</v>
      </c>
      <c r="E43" s="116">
        <f>'７月'!K43</f>
        <v>14283313</v>
      </c>
      <c r="F43" s="112">
        <v>8999</v>
      </c>
      <c r="G43" s="111">
        <v>9054308</v>
      </c>
      <c r="H43" s="110">
        <v>9374</v>
      </c>
      <c r="I43" s="109">
        <v>11938829</v>
      </c>
      <c r="J43" s="108">
        <f t="shared" si="0"/>
        <v>8952</v>
      </c>
      <c r="K43" s="107">
        <f t="shared" si="0"/>
        <v>11398792</v>
      </c>
      <c r="L43" s="106"/>
    </row>
    <row r="44" spans="2:12" s="60" customFormat="1" ht="20.25" customHeight="1">
      <c r="B44" s="61">
        <v>35</v>
      </c>
      <c r="C44" s="62" t="s">
        <v>39</v>
      </c>
      <c r="D44" s="120">
        <f>'７月'!J44</f>
        <v>29</v>
      </c>
      <c r="E44" s="116">
        <f>'７月'!K44</f>
        <v>128400</v>
      </c>
      <c r="F44" s="112">
        <v>2</v>
      </c>
      <c r="G44" s="111">
        <v>3000</v>
      </c>
      <c r="H44" s="110">
        <v>8</v>
      </c>
      <c r="I44" s="109">
        <v>12000</v>
      </c>
      <c r="J44" s="108">
        <f t="shared" si="0"/>
        <v>23</v>
      </c>
      <c r="K44" s="107">
        <f t="shared" si="0"/>
        <v>119400</v>
      </c>
      <c r="L44" s="106"/>
    </row>
    <row r="45" spans="2:12" s="60" customFormat="1" ht="20.25" customHeight="1">
      <c r="B45" s="61">
        <v>36</v>
      </c>
      <c r="C45" s="62" t="s">
        <v>40</v>
      </c>
      <c r="D45" s="120">
        <f>'７月'!J45</f>
        <v>5585</v>
      </c>
      <c r="E45" s="116">
        <f>'７月'!K45</f>
        <v>2610815</v>
      </c>
      <c r="F45" s="112">
        <v>2763</v>
      </c>
      <c r="G45" s="111">
        <v>512498</v>
      </c>
      <c r="H45" s="110">
        <v>1632</v>
      </c>
      <c r="I45" s="109">
        <v>351058</v>
      </c>
      <c r="J45" s="108">
        <f t="shared" si="0"/>
        <v>6716</v>
      </c>
      <c r="K45" s="107">
        <f t="shared" si="0"/>
        <v>2772255</v>
      </c>
      <c r="L45" s="106"/>
    </row>
    <row r="46" spans="2:12" ht="20.25" customHeight="1">
      <c r="B46" s="21">
        <v>37</v>
      </c>
      <c r="C46" s="22" t="s">
        <v>41</v>
      </c>
      <c r="D46" s="120">
        <f>'７月'!J46</f>
        <v>8936</v>
      </c>
      <c r="E46" s="116">
        <f>'７月'!K46</f>
        <v>1364793</v>
      </c>
      <c r="F46" s="105">
        <v>3288</v>
      </c>
      <c r="G46" s="104">
        <v>597218</v>
      </c>
      <c r="H46" s="103">
        <v>3071</v>
      </c>
      <c r="I46" s="102">
        <v>583701</v>
      </c>
      <c r="J46" s="101">
        <f t="shared" si="0"/>
        <v>9153</v>
      </c>
      <c r="K46" s="100">
        <f t="shared" si="0"/>
        <v>1378310</v>
      </c>
      <c r="L46" s="99"/>
    </row>
    <row r="47" spans="2:12" ht="32.25" customHeight="1">
      <c r="B47" s="21">
        <v>38</v>
      </c>
      <c r="C47" s="22" t="s">
        <v>42</v>
      </c>
      <c r="D47" s="120">
        <f>'７月'!J47</f>
        <v>3022</v>
      </c>
      <c r="E47" s="116">
        <f>'７月'!K47</f>
        <v>1777131</v>
      </c>
      <c r="F47" s="105">
        <v>1175</v>
      </c>
      <c r="G47" s="104">
        <v>370713</v>
      </c>
      <c r="H47" s="103">
        <v>1332</v>
      </c>
      <c r="I47" s="102">
        <v>396051</v>
      </c>
      <c r="J47" s="101">
        <f t="shared" si="0"/>
        <v>2865</v>
      </c>
      <c r="K47" s="100">
        <f t="shared" si="0"/>
        <v>1751793</v>
      </c>
      <c r="L47" s="99"/>
    </row>
    <row r="48" spans="2:12" ht="20.25" customHeight="1">
      <c r="B48" s="21">
        <v>39</v>
      </c>
      <c r="C48" s="22" t="s">
        <v>43</v>
      </c>
      <c r="D48" s="120">
        <f>'７月'!J48</f>
        <v>0</v>
      </c>
      <c r="E48" s="116">
        <f>'７月'!K48</f>
        <v>0</v>
      </c>
      <c r="F48" s="105">
        <v>0</v>
      </c>
      <c r="G48" s="104">
        <v>0</v>
      </c>
      <c r="H48" s="103">
        <v>0</v>
      </c>
      <c r="I48" s="102">
        <v>0</v>
      </c>
      <c r="J48" s="101">
        <f t="shared" si="0"/>
        <v>0</v>
      </c>
      <c r="K48" s="100">
        <f t="shared" si="0"/>
        <v>0</v>
      </c>
      <c r="L48" s="99"/>
    </row>
    <row r="49" spans="2:12" ht="20.25" customHeight="1" thickBot="1">
      <c r="B49" s="23">
        <v>40</v>
      </c>
      <c r="C49" s="24" t="s">
        <v>50</v>
      </c>
      <c r="D49" s="120">
        <f>'７月'!J49</f>
        <v>7421</v>
      </c>
      <c r="E49" s="97">
        <f>'７月'!K49</f>
        <v>2690611</v>
      </c>
      <c r="F49" s="98">
        <v>6009</v>
      </c>
      <c r="G49" s="97">
        <v>1683252</v>
      </c>
      <c r="H49" s="96">
        <v>6435</v>
      </c>
      <c r="I49" s="95">
        <v>1676198</v>
      </c>
      <c r="J49" s="94">
        <f t="shared" si="0"/>
        <v>6995</v>
      </c>
      <c r="K49" s="93">
        <f t="shared" si="0"/>
        <v>2697665</v>
      </c>
      <c r="L49" s="92"/>
    </row>
    <row r="50" spans="2:12" ht="21" customHeight="1" thickBot="1" thickTop="1">
      <c r="B50" s="140" t="s">
        <v>46</v>
      </c>
      <c r="C50" s="141"/>
      <c r="D50" s="91">
        <f aca="true" t="shared" si="1" ref="D50:I50">SUM(D10:D49)</f>
        <v>329808</v>
      </c>
      <c r="E50" s="90">
        <f t="shared" si="1"/>
        <v>80842910</v>
      </c>
      <c r="F50" s="89">
        <f t="shared" si="1"/>
        <v>121083</v>
      </c>
      <c r="G50" s="87">
        <f t="shared" si="1"/>
        <v>35082535</v>
      </c>
      <c r="H50" s="89">
        <f t="shared" si="1"/>
        <v>126376</v>
      </c>
      <c r="I50" s="87">
        <f t="shared" si="1"/>
        <v>39682106</v>
      </c>
      <c r="J50" s="88">
        <f t="shared" si="0"/>
        <v>324515</v>
      </c>
      <c r="K50" s="87">
        <f t="shared" si="0"/>
        <v>76243339</v>
      </c>
      <c r="L50" s="86"/>
    </row>
    <row r="51" spans="10:11" ht="13.5">
      <c r="J51" s="85"/>
      <c r="K51" s="85"/>
    </row>
    <row r="52" spans="10:11" ht="13.5">
      <c r="J52" s="84"/>
      <c r="K52" s="84"/>
    </row>
    <row r="53" spans="10:11" ht="13.5">
      <c r="J53" s="77"/>
      <c r="K53" s="77"/>
    </row>
    <row r="55" spans="4:11" ht="13.5">
      <c r="D55" s="75"/>
      <c r="E55" s="75"/>
      <c r="F55" s="75"/>
      <c r="G55" s="75"/>
      <c r="H55" s="75"/>
      <c r="I55" s="75"/>
      <c r="J55" s="82"/>
      <c r="K55" s="82"/>
    </row>
    <row r="56" spans="4:11" ht="13.5">
      <c r="D56" s="75"/>
      <c r="E56" s="75"/>
      <c r="F56" s="75"/>
      <c r="G56" s="75"/>
      <c r="H56" s="75"/>
      <c r="I56" s="75"/>
      <c r="J56" s="82"/>
      <c r="K56" s="82"/>
    </row>
    <row r="57" spans="4:11" ht="13.5">
      <c r="D57" s="80"/>
      <c r="E57" s="80"/>
      <c r="F57" s="80"/>
      <c r="G57" s="80"/>
      <c r="H57" s="80"/>
      <c r="I57" s="80"/>
      <c r="J57" s="80"/>
      <c r="K57" s="80"/>
    </row>
    <row r="58" spans="4:11" ht="13.5">
      <c r="D58" s="80"/>
      <c r="E58" s="80"/>
      <c r="F58" s="80"/>
      <c r="G58" s="80"/>
      <c r="H58" s="80"/>
      <c r="I58" s="80"/>
      <c r="J58" s="80"/>
      <c r="K58" s="80"/>
    </row>
    <row r="59" spans="4:11" ht="13.5">
      <c r="D59" s="80"/>
      <c r="E59" s="80"/>
      <c r="F59" s="80"/>
      <c r="G59" s="80"/>
      <c r="H59" s="80"/>
      <c r="I59" s="80"/>
      <c r="J59" s="83"/>
      <c r="K59" s="83"/>
    </row>
    <row r="60" spans="4:11" ht="13.5">
      <c r="D60" s="80"/>
      <c r="E60" s="80"/>
      <c r="F60" s="80"/>
      <c r="G60" s="80"/>
      <c r="H60" s="80"/>
      <c r="I60" s="80"/>
      <c r="J60" s="83"/>
      <c r="K60" s="83"/>
    </row>
    <row r="61" spans="4:11" ht="13.5">
      <c r="D61" s="80"/>
      <c r="E61" s="80"/>
      <c r="F61" s="80"/>
      <c r="G61" s="80"/>
      <c r="H61" s="80"/>
      <c r="I61" s="80"/>
      <c r="J61" s="80"/>
      <c r="K61" s="80"/>
    </row>
    <row r="62" spans="4:11" ht="13.5">
      <c r="D62" s="75"/>
      <c r="E62" s="75"/>
      <c r="F62" s="75"/>
      <c r="G62" s="75"/>
      <c r="H62" s="75"/>
      <c r="I62" s="75"/>
      <c r="J62" s="75"/>
      <c r="K62" s="75"/>
    </row>
    <row r="63" spans="4:11" ht="13.5">
      <c r="D63" s="75"/>
      <c r="E63" s="75"/>
      <c r="F63" s="75"/>
      <c r="G63" s="75"/>
      <c r="H63" s="75"/>
      <c r="I63" s="75"/>
      <c r="J63" s="82"/>
      <c r="K63" s="82"/>
    </row>
    <row r="64" spans="4:11" ht="13.5">
      <c r="D64" s="75"/>
      <c r="E64" s="75"/>
      <c r="F64" s="75"/>
      <c r="G64" s="75"/>
      <c r="H64" s="75"/>
      <c r="I64" s="75"/>
      <c r="J64" s="82"/>
      <c r="K64" s="82"/>
    </row>
    <row r="65" spans="4:11" ht="13.5">
      <c r="D65" s="75"/>
      <c r="E65" s="75"/>
      <c r="F65" s="75"/>
      <c r="G65" s="75"/>
      <c r="H65" s="75"/>
      <c r="I65" s="75"/>
      <c r="J65" s="75"/>
      <c r="K65" s="75"/>
    </row>
  </sheetData>
  <sheetProtection/>
  <mergeCells count="9">
    <mergeCell ref="B50:C50"/>
    <mergeCell ref="B2:L2"/>
    <mergeCell ref="J4:L4"/>
    <mergeCell ref="J5:L5"/>
    <mergeCell ref="D7:E7"/>
    <mergeCell ref="F7:G7"/>
    <mergeCell ref="H7:I7"/>
    <mergeCell ref="J7:K7"/>
    <mergeCell ref="L7:L9"/>
  </mergeCells>
  <printOptions horizontalCentered="1"/>
  <pageMargins left="0.3937007874015748" right="0.3937007874015748" top="0.5905511811023623" bottom="0.3937007874015748" header="0" footer="0"/>
  <pageSetup fitToHeight="1" fitToWidth="1" horizontalDpi="300" verticalDpi="300" orientation="portrait" paperSize="9" scale="82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65"/>
  <sheetViews>
    <sheetView zoomScalePageLayoutView="0" workbookViewId="0" topLeftCell="A1">
      <pane xSplit="5" ySplit="9" topLeftCell="F46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O31" sqref="O31"/>
    </sheetView>
  </sheetViews>
  <sheetFormatPr defaultColWidth="9.00390625" defaultRowHeight="13.5"/>
  <cols>
    <col min="1" max="1" width="4.375" style="1" customWidth="1"/>
    <col min="2" max="2" width="3.375" style="1" customWidth="1"/>
    <col min="3" max="3" width="15.125" style="1" customWidth="1"/>
    <col min="4" max="4" width="10.00390625" style="1" customWidth="1"/>
    <col min="5" max="5" width="11.25390625" style="1" customWidth="1"/>
    <col min="6" max="6" width="10.00390625" style="1" customWidth="1"/>
    <col min="7" max="7" width="11.25390625" style="1" customWidth="1"/>
    <col min="8" max="8" width="10.00390625" style="1" customWidth="1"/>
    <col min="9" max="9" width="11.25390625" style="1" customWidth="1"/>
    <col min="10" max="10" width="10.00390625" style="1" customWidth="1"/>
    <col min="11" max="11" width="11.25390625" style="1" customWidth="1"/>
    <col min="12" max="12" width="9.375" style="1" customWidth="1"/>
    <col min="13" max="13" width="4.00390625" style="1" customWidth="1"/>
    <col min="14" max="16384" width="9.00390625" style="1" customWidth="1"/>
  </cols>
  <sheetData>
    <row r="2" spans="2:12" ht="18.75" customHeight="1">
      <c r="B2" s="142" t="s">
        <v>47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2:12" ht="15" customHeight="1">
      <c r="B3" s="28" t="str">
        <f>'１月'!$B$3</f>
        <v>平成２８年</v>
      </c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2:12" ht="18" customHeight="1">
      <c r="B4" s="27"/>
      <c r="C4" s="54" t="s">
        <v>70</v>
      </c>
      <c r="E4" s="28" t="s">
        <v>54</v>
      </c>
      <c r="I4" s="121" t="s">
        <v>52</v>
      </c>
      <c r="J4" s="152" t="s">
        <v>57</v>
      </c>
      <c r="K4" s="152"/>
      <c r="L4" s="152"/>
    </row>
    <row r="5" spans="3:12" ht="18" customHeight="1">
      <c r="C5" s="1" t="s">
        <v>59</v>
      </c>
      <c r="I5" s="2" t="s">
        <v>53</v>
      </c>
      <c r="J5" s="148"/>
      <c r="K5" s="148"/>
      <c r="L5" s="148"/>
    </row>
    <row r="6" spans="5:12" ht="18" customHeight="1" thickBot="1">
      <c r="E6" s="1" t="s">
        <v>58</v>
      </c>
      <c r="I6" s="2"/>
      <c r="J6" s="55"/>
      <c r="K6" s="55"/>
      <c r="L6" s="55"/>
    </row>
    <row r="7" spans="2:12" ht="18.75" customHeight="1">
      <c r="B7" s="3"/>
      <c r="C7" s="4" t="s">
        <v>48</v>
      </c>
      <c r="D7" s="143" t="s">
        <v>0</v>
      </c>
      <c r="E7" s="144"/>
      <c r="F7" s="145" t="s">
        <v>1</v>
      </c>
      <c r="G7" s="146"/>
      <c r="H7" s="144" t="s">
        <v>2</v>
      </c>
      <c r="I7" s="144"/>
      <c r="J7" s="145" t="s">
        <v>3</v>
      </c>
      <c r="K7" s="146"/>
      <c r="L7" s="149" t="s">
        <v>4</v>
      </c>
    </row>
    <row r="8" spans="2:12" ht="18.75" customHeight="1">
      <c r="B8" s="5"/>
      <c r="C8" s="6"/>
      <c r="D8" s="7" t="s">
        <v>44</v>
      </c>
      <c r="E8" s="8" t="s">
        <v>45</v>
      </c>
      <c r="F8" s="9" t="s">
        <v>44</v>
      </c>
      <c r="G8" s="10" t="s">
        <v>45</v>
      </c>
      <c r="H8" s="11" t="s">
        <v>44</v>
      </c>
      <c r="I8" s="8" t="s">
        <v>45</v>
      </c>
      <c r="J8" s="9" t="s">
        <v>44</v>
      </c>
      <c r="K8" s="10" t="s">
        <v>45</v>
      </c>
      <c r="L8" s="150"/>
    </row>
    <row r="9" spans="2:12" ht="18.75" customHeight="1" thickBot="1">
      <c r="B9" s="12" t="s">
        <v>49</v>
      </c>
      <c r="C9" s="13"/>
      <c r="D9" s="14" t="s">
        <v>55</v>
      </c>
      <c r="E9" s="15" t="s">
        <v>5</v>
      </c>
      <c r="F9" s="16" t="s">
        <v>55</v>
      </c>
      <c r="G9" s="17" t="s">
        <v>5</v>
      </c>
      <c r="H9" s="18" t="s">
        <v>55</v>
      </c>
      <c r="I9" s="15" t="s">
        <v>5</v>
      </c>
      <c r="J9" s="16" t="s">
        <v>55</v>
      </c>
      <c r="K9" s="17" t="s">
        <v>5</v>
      </c>
      <c r="L9" s="151"/>
    </row>
    <row r="10" spans="2:14" ht="20.25" customHeight="1" thickTop="1">
      <c r="B10" s="19">
        <v>1</v>
      </c>
      <c r="C10" s="20" t="s">
        <v>6</v>
      </c>
      <c r="D10" s="120">
        <f>'８月'!J10</f>
        <v>35169</v>
      </c>
      <c r="E10" s="116">
        <f>'８月'!K10</f>
        <v>9018292</v>
      </c>
      <c r="F10" s="119">
        <v>3180</v>
      </c>
      <c r="G10" s="118">
        <v>803525</v>
      </c>
      <c r="H10" s="117">
        <v>2689</v>
      </c>
      <c r="I10" s="116">
        <v>534158</v>
      </c>
      <c r="J10" s="115">
        <f aca="true" t="shared" si="0" ref="J10:K50">D10+F10-H10</f>
        <v>35660</v>
      </c>
      <c r="K10" s="114">
        <f t="shared" si="0"/>
        <v>9287659</v>
      </c>
      <c r="L10" s="113"/>
      <c r="N10" s="60"/>
    </row>
    <row r="11" spans="2:12" ht="20.25" customHeight="1">
      <c r="B11" s="21">
        <v>2</v>
      </c>
      <c r="C11" s="22" t="s">
        <v>7</v>
      </c>
      <c r="D11" s="120">
        <f>'８月'!J11</f>
        <v>404</v>
      </c>
      <c r="E11" s="116">
        <f>'８月'!K11</f>
        <v>16786</v>
      </c>
      <c r="F11" s="105">
        <v>24</v>
      </c>
      <c r="G11" s="104">
        <v>960</v>
      </c>
      <c r="H11" s="103">
        <v>0</v>
      </c>
      <c r="I11" s="102">
        <v>0</v>
      </c>
      <c r="J11" s="101">
        <f t="shared" si="0"/>
        <v>428</v>
      </c>
      <c r="K11" s="100">
        <f t="shared" si="0"/>
        <v>17746</v>
      </c>
      <c r="L11" s="99"/>
    </row>
    <row r="12" spans="2:12" ht="20.25" customHeight="1">
      <c r="B12" s="21">
        <v>3</v>
      </c>
      <c r="C12" s="22" t="s">
        <v>8</v>
      </c>
      <c r="D12" s="120">
        <f>'８月'!J12</f>
        <v>0</v>
      </c>
      <c r="E12" s="116">
        <f>'８月'!K12</f>
        <v>0</v>
      </c>
      <c r="F12" s="105">
        <v>0</v>
      </c>
      <c r="G12" s="104">
        <v>0</v>
      </c>
      <c r="H12" s="103">
        <v>0</v>
      </c>
      <c r="I12" s="102">
        <v>0</v>
      </c>
      <c r="J12" s="101">
        <f t="shared" si="0"/>
        <v>0</v>
      </c>
      <c r="K12" s="100">
        <f t="shared" si="0"/>
        <v>0</v>
      </c>
      <c r="L12" s="99"/>
    </row>
    <row r="13" spans="2:12" ht="20.25" customHeight="1">
      <c r="B13" s="21">
        <v>4</v>
      </c>
      <c r="C13" s="22" t="s">
        <v>9</v>
      </c>
      <c r="D13" s="120">
        <f>'８月'!J13</f>
        <v>1124</v>
      </c>
      <c r="E13" s="116">
        <f>'８月'!K13</f>
        <v>157004</v>
      </c>
      <c r="F13" s="105">
        <v>130</v>
      </c>
      <c r="G13" s="104">
        <v>15141</v>
      </c>
      <c r="H13" s="103">
        <v>195</v>
      </c>
      <c r="I13" s="102">
        <v>32280</v>
      </c>
      <c r="J13" s="101">
        <f t="shared" si="0"/>
        <v>1059</v>
      </c>
      <c r="K13" s="100">
        <f t="shared" si="0"/>
        <v>139865</v>
      </c>
      <c r="L13" s="99"/>
    </row>
    <row r="14" spans="2:12" ht="20.25" customHeight="1">
      <c r="B14" s="21">
        <v>5</v>
      </c>
      <c r="C14" s="22" t="s">
        <v>10</v>
      </c>
      <c r="D14" s="120">
        <f>'８月'!J14</f>
        <v>0</v>
      </c>
      <c r="E14" s="116">
        <f>'８月'!K14</f>
        <v>0</v>
      </c>
      <c r="F14" s="105">
        <v>0</v>
      </c>
      <c r="G14" s="104">
        <v>0</v>
      </c>
      <c r="H14" s="103">
        <v>0</v>
      </c>
      <c r="I14" s="102">
        <v>0</v>
      </c>
      <c r="J14" s="101">
        <f t="shared" si="0"/>
        <v>0</v>
      </c>
      <c r="K14" s="100">
        <f t="shared" si="0"/>
        <v>0</v>
      </c>
      <c r="L14" s="99"/>
    </row>
    <row r="15" spans="2:12" ht="20.25" customHeight="1">
      <c r="B15" s="21">
        <v>6</v>
      </c>
      <c r="C15" s="22" t="s">
        <v>11</v>
      </c>
      <c r="D15" s="120">
        <f>'８月'!J15</f>
        <v>0</v>
      </c>
      <c r="E15" s="116">
        <f>'８月'!K15</f>
        <v>0</v>
      </c>
      <c r="F15" s="105">
        <v>0</v>
      </c>
      <c r="G15" s="104">
        <v>0</v>
      </c>
      <c r="H15" s="103">
        <v>0</v>
      </c>
      <c r="I15" s="102">
        <v>0</v>
      </c>
      <c r="J15" s="101">
        <f t="shared" si="0"/>
        <v>0</v>
      </c>
      <c r="K15" s="100">
        <f t="shared" si="0"/>
        <v>0</v>
      </c>
      <c r="L15" s="99"/>
    </row>
    <row r="16" spans="2:12" ht="20.25" customHeight="1">
      <c r="B16" s="21">
        <v>7</v>
      </c>
      <c r="C16" s="22" t="s">
        <v>12</v>
      </c>
      <c r="D16" s="120">
        <f>'８月'!J16</f>
        <v>0</v>
      </c>
      <c r="E16" s="116">
        <f>'８月'!K16</f>
        <v>0</v>
      </c>
      <c r="F16" s="105">
        <v>0</v>
      </c>
      <c r="G16" s="104">
        <v>0</v>
      </c>
      <c r="H16" s="103">
        <v>0</v>
      </c>
      <c r="I16" s="102">
        <v>0</v>
      </c>
      <c r="J16" s="101">
        <f t="shared" si="0"/>
        <v>0</v>
      </c>
      <c r="K16" s="100">
        <f t="shared" si="0"/>
        <v>0</v>
      </c>
      <c r="L16" s="99"/>
    </row>
    <row r="17" spans="2:12" ht="20.25" customHeight="1">
      <c r="B17" s="21">
        <v>8</v>
      </c>
      <c r="C17" s="22" t="s">
        <v>13</v>
      </c>
      <c r="D17" s="120">
        <f>'８月'!J17</f>
        <v>0</v>
      </c>
      <c r="E17" s="116">
        <f>'８月'!K17</f>
        <v>0</v>
      </c>
      <c r="F17" s="105">
        <v>0</v>
      </c>
      <c r="G17" s="104">
        <v>0</v>
      </c>
      <c r="H17" s="103">
        <v>0</v>
      </c>
      <c r="I17" s="102">
        <v>0</v>
      </c>
      <c r="J17" s="101">
        <f t="shared" si="0"/>
        <v>0</v>
      </c>
      <c r="K17" s="100">
        <f t="shared" si="0"/>
        <v>0</v>
      </c>
      <c r="L17" s="99"/>
    </row>
    <row r="18" spans="2:12" ht="20.25" customHeight="1">
      <c r="B18" s="21">
        <v>9</v>
      </c>
      <c r="C18" s="22" t="s">
        <v>14</v>
      </c>
      <c r="D18" s="120">
        <f>'８月'!J18</f>
        <v>40</v>
      </c>
      <c r="E18" s="116">
        <f>'８月'!K18</f>
        <v>5320</v>
      </c>
      <c r="F18" s="105">
        <v>84</v>
      </c>
      <c r="G18" s="104">
        <v>7980</v>
      </c>
      <c r="H18" s="103">
        <v>67</v>
      </c>
      <c r="I18" s="102">
        <v>6775</v>
      </c>
      <c r="J18" s="101">
        <f t="shared" si="0"/>
        <v>57</v>
      </c>
      <c r="K18" s="100">
        <f t="shared" si="0"/>
        <v>6525</v>
      </c>
      <c r="L18" s="99"/>
    </row>
    <row r="19" spans="2:12" ht="20.25" customHeight="1">
      <c r="B19" s="21">
        <v>10</v>
      </c>
      <c r="C19" s="22" t="s">
        <v>15</v>
      </c>
      <c r="D19" s="120">
        <f>'８月'!J19</f>
        <v>0</v>
      </c>
      <c r="E19" s="116">
        <f>'８月'!K19</f>
        <v>0</v>
      </c>
      <c r="F19" s="105">
        <v>0</v>
      </c>
      <c r="G19" s="104">
        <v>0</v>
      </c>
      <c r="H19" s="103">
        <v>0</v>
      </c>
      <c r="I19" s="102">
        <v>0</v>
      </c>
      <c r="J19" s="101">
        <f t="shared" si="0"/>
        <v>0</v>
      </c>
      <c r="K19" s="100">
        <f t="shared" si="0"/>
        <v>0</v>
      </c>
      <c r="L19" s="99"/>
    </row>
    <row r="20" spans="2:12" ht="20.25" customHeight="1">
      <c r="B20" s="21">
        <v>11</v>
      </c>
      <c r="C20" s="22" t="s">
        <v>16</v>
      </c>
      <c r="D20" s="120">
        <f>'８月'!J20</f>
        <v>0</v>
      </c>
      <c r="E20" s="116">
        <f>'８月'!K20</f>
        <v>0</v>
      </c>
      <c r="F20" s="105">
        <v>0</v>
      </c>
      <c r="G20" s="104">
        <v>0</v>
      </c>
      <c r="H20" s="103">
        <v>0</v>
      </c>
      <c r="I20" s="102">
        <v>0</v>
      </c>
      <c r="J20" s="101">
        <f t="shared" si="0"/>
        <v>0</v>
      </c>
      <c r="K20" s="100">
        <f t="shared" si="0"/>
        <v>0</v>
      </c>
      <c r="L20" s="99"/>
    </row>
    <row r="21" spans="2:12" ht="20.25" customHeight="1">
      <c r="B21" s="21">
        <v>12</v>
      </c>
      <c r="C21" s="22" t="s">
        <v>17</v>
      </c>
      <c r="D21" s="120">
        <f>'８月'!J21</f>
        <v>0</v>
      </c>
      <c r="E21" s="116">
        <f>'８月'!K21</f>
        <v>0</v>
      </c>
      <c r="F21" s="105">
        <v>0</v>
      </c>
      <c r="G21" s="104">
        <v>0</v>
      </c>
      <c r="H21" s="103">
        <v>0</v>
      </c>
      <c r="I21" s="102">
        <v>0</v>
      </c>
      <c r="J21" s="101">
        <f t="shared" si="0"/>
        <v>0</v>
      </c>
      <c r="K21" s="100">
        <f t="shared" si="0"/>
        <v>0</v>
      </c>
      <c r="L21" s="99"/>
    </row>
    <row r="22" spans="2:12" ht="20.25" customHeight="1">
      <c r="B22" s="21">
        <v>13</v>
      </c>
      <c r="C22" s="22" t="s">
        <v>18</v>
      </c>
      <c r="D22" s="120">
        <f>'８月'!J22</f>
        <v>7275</v>
      </c>
      <c r="E22" s="116">
        <f>'８月'!K22</f>
        <v>984180</v>
      </c>
      <c r="F22" s="105">
        <v>2698</v>
      </c>
      <c r="G22" s="104">
        <v>332580</v>
      </c>
      <c r="H22" s="103">
        <v>2672</v>
      </c>
      <c r="I22" s="102">
        <v>347360</v>
      </c>
      <c r="J22" s="101">
        <f t="shared" si="0"/>
        <v>7301</v>
      </c>
      <c r="K22" s="100">
        <f t="shared" si="0"/>
        <v>969400</v>
      </c>
      <c r="L22" s="99"/>
    </row>
    <row r="23" spans="2:12" s="60" customFormat="1" ht="20.25" customHeight="1">
      <c r="B23" s="61">
        <v>14</v>
      </c>
      <c r="C23" s="62" t="s">
        <v>19</v>
      </c>
      <c r="D23" s="120">
        <f>'８月'!J23</f>
        <v>2985</v>
      </c>
      <c r="E23" s="116">
        <f>'８月'!K23</f>
        <v>2564906</v>
      </c>
      <c r="F23" s="112">
        <v>1140</v>
      </c>
      <c r="G23" s="111">
        <v>1560000</v>
      </c>
      <c r="H23" s="110">
        <v>1412</v>
      </c>
      <c r="I23" s="109">
        <v>2015418</v>
      </c>
      <c r="J23" s="108">
        <f t="shared" si="0"/>
        <v>2713</v>
      </c>
      <c r="K23" s="107">
        <f t="shared" si="0"/>
        <v>2109488</v>
      </c>
      <c r="L23" s="106"/>
    </row>
    <row r="24" spans="2:12" ht="20.25" customHeight="1">
      <c r="B24" s="21">
        <v>15</v>
      </c>
      <c r="C24" s="22" t="s">
        <v>20</v>
      </c>
      <c r="D24" s="120">
        <f>'８月'!J24</f>
        <v>25599</v>
      </c>
      <c r="E24" s="116">
        <f>'８月'!K24</f>
        <v>3144128</v>
      </c>
      <c r="F24" s="105">
        <v>1148</v>
      </c>
      <c r="G24" s="104">
        <v>710764</v>
      </c>
      <c r="H24" s="103">
        <v>1126</v>
      </c>
      <c r="I24" s="102">
        <v>713587</v>
      </c>
      <c r="J24" s="101">
        <f t="shared" si="0"/>
        <v>25621</v>
      </c>
      <c r="K24" s="100">
        <f t="shared" si="0"/>
        <v>3141305</v>
      </c>
      <c r="L24" s="99"/>
    </row>
    <row r="25" spans="2:12" ht="20.25" customHeight="1">
      <c r="B25" s="21">
        <v>16</v>
      </c>
      <c r="C25" s="22" t="s">
        <v>21</v>
      </c>
      <c r="D25" s="120">
        <f>'８月'!J25</f>
        <v>8289</v>
      </c>
      <c r="E25" s="116">
        <f>'８月'!K25</f>
        <v>4062468</v>
      </c>
      <c r="F25" s="105">
        <v>5174</v>
      </c>
      <c r="G25" s="104">
        <v>1147059</v>
      </c>
      <c r="H25" s="103">
        <f>6076+1</f>
        <v>6077</v>
      </c>
      <c r="I25" s="102">
        <f>1278652+654</f>
        <v>1279306</v>
      </c>
      <c r="J25" s="101">
        <f t="shared" si="0"/>
        <v>7386</v>
      </c>
      <c r="K25" s="100">
        <f t="shared" si="0"/>
        <v>3930221</v>
      </c>
      <c r="L25" s="99"/>
    </row>
    <row r="26" spans="2:12" ht="20.25" customHeight="1">
      <c r="B26" s="21">
        <v>17</v>
      </c>
      <c r="C26" s="22" t="s">
        <v>22</v>
      </c>
      <c r="D26" s="120">
        <f>'８月'!J26</f>
        <v>19149</v>
      </c>
      <c r="E26" s="116">
        <f>'８月'!K26</f>
        <v>6152745</v>
      </c>
      <c r="F26" s="105">
        <v>6886</v>
      </c>
      <c r="G26" s="104">
        <v>2183189</v>
      </c>
      <c r="H26" s="103">
        <v>7145</v>
      </c>
      <c r="I26" s="102">
        <v>1494332</v>
      </c>
      <c r="J26" s="101">
        <f t="shared" si="0"/>
        <v>18890</v>
      </c>
      <c r="K26" s="100">
        <f t="shared" si="0"/>
        <v>6841602</v>
      </c>
      <c r="L26" s="99"/>
    </row>
    <row r="27" spans="2:12" ht="20.25" customHeight="1">
      <c r="B27" s="21">
        <v>18</v>
      </c>
      <c r="C27" s="22" t="s">
        <v>51</v>
      </c>
      <c r="D27" s="120">
        <f>'８月'!J27</f>
        <v>2091</v>
      </c>
      <c r="E27" s="116">
        <f>'８月'!K27</f>
        <v>333300</v>
      </c>
      <c r="F27" s="105">
        <v>283</v>
      </c>
      <c r="G27" s="104">
        <v>87250</v>
      </c>
      <c r="H27" s="103">
        <v>286</v>
      </c>
      <c r="I27" s="102">
        <v>91100</v>
      </c>
      <c r="J27" s="101">
        <f t="shared" si="0"/>
        <v>2088</v>
      </c>
      <c r="K27" s="100">
        <f t="shared" si="0"/>
        <v>329450</v>
      </c>
      <c r="L27" s="99"/>
    </row>
    <row r="28" spans="2:12" ht="20.25" customHeight="1">
      <c r="B28" s="21">
        <v>19</v>
      </c>
      <c r="C28" s="22" t="s">
        <v>23</v>
      </c>
      <c r="D28" s="120">
        <f>'８月'!J28</f>
        <v>620</v>
      </c>
      <c r="E28" s="116">
        <f>'８月'!K28</f>
        <v>68200</v>
      </c>
      <c r="F28" s="105">
        <v>980</v>
      </c>
      <c r="G28" s="104">
        <v>107800</v>
      </c>
      <c r="H28" s="103">
        <v>1050</v>
      </c>
      <c r="I28" s="102">
        <v>115500</v>
      </c>
      <c r="J28" s="101">
        <f t="shared" si="0"/>
        <v>550</v>
      </c>
      <c r="K28" s="100">
        <f t="shared" si="0"/>
        <v>60500</v>
      </c>
      <c r="L28" s="99"/>
    </row>
    <row r="29" spans="2:12" s="60" customFormat="1" ht="20.25" customHeight="1">
      <c r="B29" s="61">
        <v>20</v>
      </c>
      <c r="C29" s="62" t="s">
        <v>24</v>
      </c>
      <c r="D29" s="120">
        <f>'８月'!J29</f>
        <v>1058</v>
      </c>
      <c r="E29" s="116">
        <f>'８月'!K29</f>
        <v>311181</v>
      </c>
      <c r="F29" s="74">
        <f>22+26</f>
        <v>48</v>
      </c>
      <c r="G29" s="111">
        <f>4400+49790</f>
        <v>54190</v>
      </c>
      <c r="H29" s="110">
        <f>28+26</f>
        <v>54</v>
      </c>
      <c r="I29" s="109">
        <f>5600+49790</f>
        <v>55390</v>
      </c>
      <c r="J29" s="108">
        <f t="shared" si="0"/>
        <v>1052</v>
      </c>
      <c r="K29" s="107">
        <f t="shared" si="0"/>
        <v>309981</v>
      </c>
      <c r="L29" s="106"/>
    </row>
    <row r="30" spans="2:12" s="60" customFormat="1" ht="20.25" customHeight="1">
      <c r="B30" s="61">
        <v>21</v>
      </c>
      <c r="C30" s="62" t="s">
        <v>25</v>
      </c>
      <c r="D30" s="120">
        <f>'８月'!J30</f>
        <v>1677</v>
      </c>
      <c r="E30" s="116">
        <f>'８月'!K30</f>
        <v>804037</v>
      </c>
      <c r="F30" s="112">
        <f>180+689</f>
        <v>869</v>
      </c>
      <c r="G30" s="111">
        <f>48600+60915</f>
        <v>109515</v>
      </c>
      <c r="H30" s="110">
        <f>311+757</f>
        <v>1068</v>
      </c>
      <c r="I30" s="109">
        <f>83970+51651</f>
        <v>135621</v>
      </c>
      <c r="J30" s="108">
        <f t="shared" si="0"/>
        <v>1478</v>
      </c>
      <c r="K30" s="107">
        <f t="shared" si="0"/>
        <v>777931</v>
      </c>
      <c r="L30" s="106"/>
    </row>
    <row r="31" spans="2:12" s="60" customFormat="1" ht="20.25" customHeight="1">
      <c r="B31" s="61">
        <v>22</v>
      </c>
      <c r="C31" s="62" t="s">
        <v>26</v>
      </c>
      <c r="D31" s="120">
        <f>'８月'!J31</f>
        <v>0</v>
      </c>
      <c r="E31" s="116">
        <f>'８月'!K31</f>
        <v>0</v>
      </c>
      <c r="F31" s="112">
        <v>0</v>
      </c>
      <c r="G31" s="111">
        <v>0</v>
      </c>
      <c r="H31" s="110">
        <v>0</v>
      </c>
      <c r="I31" s="109">
        <v>0</v>
      </c>
      <c r="J31" s="108">
        <f t="shared" si="0"/>
        <v>0</v>
      </c>
      <c r="K31" s="107">
        <f t="shared" si="0"/>
        <v>0</v>
      </c>
      <c r="L31" s="106"/>
    </row>
    <row r="32" spans="2:12" s="60" customFormat="1" ht="20.25" customHeight="1">
      <c r="B32" s="61">
        <v>23</v>
      </c>
      <c r="C32" s="62" t="s">
        <v>27</v>
      </c>
      <c r="D32" s="120">
        <f>'８月'!J32</f>
        <v>20</v>
      </c>
      <c r="E32" s="116">
        <f>'８月'!K32</f>
        <v>16000</v>
      </c>
      <c r="F32" s="112">
        <v>0</v>
      </c>
      <c r="G32" s="111">
        <v>10400</v>
      </c>
      <c r="H32" s="110">
        <v>0</v>
      </c>
      <c r="I32" s="109">
        <v>11200</v>
      </c>
      <c r="J32" s="108">
        <f t="shared" si="0"/>
        <v>20</v>
      </c>
      <c r="K32" s="107">
        <f t="shared" si="0"/>
        <v>15200</v>
      </c>
      <c r="L32" s="106"/>
    </row>
    <row r="33" spans="2:12" s="60" customFormat="1" ht="20.25" customHeight="1">
      <c r="B33" s="61">
        <v>24</v>
      </c>
      <c r="C33" s="62" t="s">
        <v>28</v>
      </c>
      <c r="D33" s="120">
        <f>'８月'!J33</f>
        <v>21787</v>
      </c>
      <c r="E33" s="116">
        <f>'８月'!K33</f>
        <v>6767067</v>
      </c>
      <c r="F33" s="112">
        <v>15334</v>
      </c>
      <c r="G33" s="111">
        <v>4489095</v>
      </c>
      <c r="H33" s="72">
        <v>15486</v>
      </c>
      <c r="I33" s="109">
        <v>4618037</v>
      </c>
      <c r="J33" s="108">
        <f t="shared" si="0"/>
        <v>21635</v>
      </c>
      <c r="K33" s="107">
        <f t="shared" si="0"/>
        <v>6638125</v>
      </c>
      <c r="L33" s="106"/>
    </row>
    <row r="34" spans="2:12" s="60" customFormat="1" ht="32.25" customHeight="1">
      <c r="B34" s="61">
        <v>25</v>
      </c>
      <c r="C34" s="62" t="s">
        <v>29</v>
      </c>
      <c r="D34" s="120">
        <f>'８月'!J34</f>
        <v>107147</v>
      </c>
      <c r="E34" s="116">
        <f>'８月'!K34</f>
        <v>7951535</v>
      </c>
      <c r="F34" s="112">
        <f>54083+353</f>
        <v>54436</v>
      </c>
      <c r="G34" s="111">
        <f>6378009+341000</f>
        <v>6719009</v>
      </c>
      <c r="H34" s="110">
        <f>52079+324</f>
        <v>52403</v>
      </c>
      <c r="I34" s="109">
        <f>6297457+310300</f>
        <v>6607757</v>
      </c>
      <c r="J34" s="108">
        <f t="shared" si="0"/>
        <v>109180</v>
      </c>
      <c r="K34" s="107">
        <f t="shared" si="0"/>
        <v>8062787</v>
      </c>
      <c r="L34" s="106"/>
    </row>
    <row r="35" spans="2:12" s="60" customFormat="1" ht="20.25" customHeight="1">
      <c r="B35" s="61">
        <v>26</v>
      </c>
      <c r="C35" s="62" t="s">
        <v>30</v>
      </c>
      <c r="D35" s="120">
        <f>'８月'!J35</f>
        <v>4809</v>
      </c>
      <c r="E35" s="116">
        <f>'８月'!K35</f>
        <v>3496367</v>
      </c>
      <c r="F35" s="112">
        <v>849</v>
      </c>
      <c r="G35" s="111">
        <v>124119</v>
      </c>
      <c r="H35" s="110">
        <v>1000</v>
      </c>
      <c r="I35" s="109">
        <v>213190</v>
      </c>
      <c r="J35" s="108">
        <f t="shared" si="0"/>
        <v>4658</v>
      </c>
      <c r="K35" s="107">
        <f t="shared" si="0"/>
        <v>3407296</v>
      </c>
      <c r="L35" s="106"/>
    </row>
    <row r="36" spans="2:12" s="60" customFormat="1" ht="20.25" customHeight="1">
      <c r="B36" s="61">
        <v>27</v>
      </c>
      <c r="C36" s="62" t="s">
        <v>31</v>
      </c>
      <c r="D36" s="120">
        <f>'８月'!J36</f>
        <v>246</v>
      </c>
      <c r="E36" s="116">
        <f>'８月'!K36</f>
        <v>49640</v>
      </c>
      <c r="F36" s="112">
        <v>271</v>
      </c>
      <c r="G36" s="111">
        <v>54240</v>
      </c>
      <c r="H36" s="110">
        <v>289</v>
      </c>
      <c r="I36" s="109">
        <v>58080</v>
      </c>
      <c r="J36" s="108">
        <f t="shared" si="0"/>
        <v>228</v>
      </c>
      <c r="K36" s="107">
        <f t="shared" si="0"/>
        <v>45800</v>
      </c>
      <c r="L36" s="106"/>
    </row>
    <row r="37" spans="2:12" s="60" customFormat="1" ht="20.25" customHeight="1">
      <c r="B37" s="61">
        <v>28</v>
      </c>
      <c r="C37" s="62" t="s">
        <v>33</v>
      </c>
      <c r="D37" s="120">
        <f>'８月'!J37</f>
        <v>0</v>
      </c>
      <c r="E37" s="116">
        <f>'８月'!K37</f>
        <v>0</v>
      </c>
      <c r="F37" s="112">
        <v>0</v>
      </c>
      <c r="G37" s="111">
        <v>0</v>
      </c>
      <c r="H37" s="110">
        <v>0</v>
      </c>
      <c r="I37" s="109">
        <v>0</v>
      </c>
      <c r="J37" s="108">
        <f t="shared" si="0"/>
        <v>0</v>
      </c>
      <c r="K37" s="107">
        <f t="shared" si="0"/>
        <v>0</v>
      </c>
      <c r="L37" s="106"/>
    </row>
    <row r="38" spans="2:12" s="60" customFormat="1" ht="20.25" customHeight="1">
      <c r="B38" s="61">
        <v>29</v>
      </c>
      <c r="C38" s="62" t="s">
        <v>32</v>
      </c>
      <c r="D38" s="120">
        <f>'８月'!J38</f>
        <v>955</v>
      </c>
      <c r="E38" s="116">
        <f>'８月'!K38</f>
        <v>198040</v>
      </c>
      <c r="F38" s="112">
        <v>44</v>
      </c>
      <c r="G38" s="111">
        <v>6881</v>
      </c>
      <c r="H38" s="110">
        <v>211</v>
      </c>
      <c r="I38" s="109">
        <v>41841</v>
      </c>
      <c r="J38" s="108">
        <f t="shared" si="0"/>
        <v>788</v>
      </c>
      <c r="K38" s="107">
        <f t="shared" si="0"/>
        <v>163080</v>
      </c>
      <c r="L38" s="106"/>
    </row>
    <row r="39" spans="2:12" s="60" customFormat="1" ht="20.25" customHeight="1">
      <c r="B39" s="61">
        <v>30</v>
      </c>
      <c r="C39" s="62" t="s">
        <v>34</v>
      </c>
      <c r="D39" s="120">
        <f>'８月'!J39</f>
        <v>1164</v>
      </c>
      <c r="E39" s="116">
        <f>'８月'!K39</f>
        <v>1280400</v>
      </c>
      <c r="F39" s="112">
        <v>120</v>
      </c>
      <c r="G39" s="111">
        <v>132000</v>
      </c>
      <c r="H39" s="110">
        <v>120</v>
      </c>
      <c r="I39" s="109">
        <v>132000</v>
      </c>
      <c r="J39" s="108">
        <f t="shared" si="0"/>
        <v>1164</v>
      </c>
      <c r="K39" s="107">
        <f t="shared" si="0"/>
        <v>1280400</v>
      </c>
      <c r="L39" s="106"/>
    </row>
    <row r="40" spans="2:12" s="60" customFormat="1" ht="20.25" customHeight="1">
      <c r="B40" s="61">
        <v>31</v>
      </c>
      <c r="C40" s="62" t="s">
        <v>35</v>
      </c>
      <c r="D40" s="120">
        <f>'８月'!J40</f>
        <v>0</v>
      </c>
      <c r="E40" s="116">
        <f>'８月'!K40</f>
        <v>0</v>
      </c>
      <c r="F40" s="112">
        <v>0</v>
      </c>
      <c r="G40" s="111">
        <v>0</v>
      </c>
      <c r="H40" s="110">
        <v>0</v>
      </c>
      <c r="I40" s="109">
        <v>0</v>
      </c>
      <c r="J40" s="108">
        <f t="shared" si="0"/>
        <v>0</v>
      </c>
      <c r="K40" s="107">
        <f t="shared" si="0"/>
        <v>0</v>
      </c>
      <c r="L40" s="106"/>
    </row>
    <row r="41" spans="2:12" s="60" customFormat="1" ht="20.25" customHeight="1">
      <c r="B41" s="61">
        <v>32</v>
      </c>
      <c r="C41" s="62" t="s">
        <v>36</v>
      </c>
      <c r="D41" s="120">
        <f>'８月'!J41</f>
        <v>0</v>
      </c>
      <c r="E41" s="116">
        <f>'８月'!K41</f>
        <v>0</v>
      </c>
      <c r="F41" s="112">
        <v>0</v>
      </c>
      <c r="G41" s="111">
        <v>0</v>
      </c>
      <c r="H41" s="110">
        <v>0</v>
      </c>
      <c r="I41" s="109">
        <v>0</v>
      </c>
      <c r="J41" s="108">
        <f t="shared" si="0"/>
        <v>0</v>
      </c>
      <c r="K41" s="107">
        <f t="shared" si="0"/>
        <v>0</v>
      </c>
      <c r="L41" s="106"/>
    </row>
    <row r="42" spans="2:12" s="60" customFormat="1" ht="20.25" customHeight="1">
      <c r="B42" s="61">
        <v>33</v>
      </c>
      <c r="C42" s="62" t="s">
        <v>37</v>
      </c>
      <c r="D42" s="120">
        <f>'８月'!J42</f>
        <v>48203</v>
      </c>
      <c r="E42" s="116">
        <f>'８月'!K42</f>
        <v>8743528</v>
      </c>
      <c r="F42" s="112">
        <v>18725</v>
      </c>
      <c r="G42" s="111">
        <v>5204164</v>
      </c>
      <c r="H42" s="110">
        <v>20389</v>
      </c>
      <c r="I42" s="109">
        <v>6169794</v>
      </c>
      <c r="J42" s="108">
        <f t="shared" si="0"/>
        <v>46539</v>
      </c>
      <c r="K42" s="107">
        <f t="shared" si="0"/>
        <v>7777898</v>
      </c>
      <c r="L42" s="106"/>
    </row>
    <row r="43" spans="2:12" s="60" customFormat="1" ht="33" customHeight="1">
      <c r="B43" s="61">
        <v>34</v>
      </c>
      <c r="C43" s="62" t="s">
        <v>38</v>
      </c>
      <c r="D43" s="120">
        <f>'８月'!J43</f>
        <v>8952</v>
      </c>
      <c r="E43" s="116">
        <f>'８月'!K43</f>
        <v>11398792</v>
      </c>
      <c r="F43" s="112">
        <v>6581</v>
      </c>
      <c r="G43" s="111">
        <v>1949751</v>
      </c>
      <c r="H43" s="110">
        <v>8391</v>
      </c>
      <c r="I43" s="109">
        <v>10971050</v>
      </c>
      <c r="J43" s="108">
        <f t="shared" si="0"/>
        <v>7142</v>
      </c>
      <c r="K43" s="107">
        <f t="shared" si="0"/>
        <v>2377493</v>
      </c>
      <c r="L43" s="106"/>
    </row>
    <row r="44" spans="2:12" s="60" customFormat="1" ht="20.25" customHeight="1">
      <c r="B44" s="61">
        <v>35</v>
      </c>
      <c r="C44" s="62" t="s">
        <v>39</v>
      </c>
      <c r="D44" s="120">
        <f>'８月'!J44</f>
        <v>23</v>
      </c>
      <c r="E44" s="116">
        <f>'８月'!K44</f>
        <v>119400</v>
      </c>
      <c r="F44" s="112">
        <v>3</v>
      </c>
      <c r="G44" s="111">
        <v>3180</v>
      </c>
      <c r="H44" s="110">
        <v>6</v>
      </c>
      <c r="I44" s="109">
        <v>7800</v>
      </c>
      <c r="J44" s="108">
        <f t="shared" si="0"/>
        <v>20</v>
      </c>
      <c r="K44" s="107">
        <f t="shared" si="0"/>
        <v>114780</v>
      </c>
      <c r="L44" s="106"/>
    </row>
    <row r="45" spans="2:12" s="60" customFormat="1" ht="20.25" customHeight="1">
      <c r="B45" s="61">
        <v>36</v>
      </c>
      <c r="C45" s="62" t="s">
        <v>40</v>
      </c>
      <c r="D45" s="120">
        <f>'８月'!J45</f>
        <v>6716</v>
      </c>
      <c r="E45" s="116">
        <f>'８月'!K45</f>
        <v>2772255</v>
      </c>
      <c r="F45" s="112">
        <v>1418</v>
      </c>
      <c r="G45" s="111">
        <v>539814</v>
      </c>
      <c r="H45" s="110">
        <v>2843</v>
      </c>
      <c r="I45" s="109">
        <v>529295</v>
      </c>
      <c r="J45" s="108">
        <f t="shared" si="0"/>
        <v>5291</v>
      </c>
      <c r="K45" s="107">
        <f t="shared" si="0"/>
        <v>2782774</v>
      </c>
      <c r="L45" s="106"/>
    </row>
    <row r="46" spans="2:12" ht="20.25" customHeight="1">
      <c r="B46" s="21">
        <v>37</v>
      </c>
      <c r="C46" s="22" t="s">
        <v>41</v>
      </c>
      <c r="D46" s="120">
        <f>'８月'!J46</f>
        <v>9153</v>
      </c>
      <c r="E46" s="116">
        <f>'８月'!K46</f>
        <v>1378310</v>
      </c>
      <c r="F46" s="105">
        <v>4677</v>
      </c>
      <c r="G46" s="104">
        <v>862822</v>
      </c>
      <c r="H46" s="103">
        <v>5352</v>
      </c>
      <c r="I46" s="102">
        <v>845405</v>
      </c>
      <c r="J46" s="101">
        <f t="shared" si="0"/>
        <v>8478</v>
      </c>
      <c r="K46" s="100">
        <f t="shared" si="0"/>
        <v>1395727</v>
      </c>
      <c r="L46" s="99"/>
    </row>
    <row r="47" spans="2:12" ht="32.25" customHeight="1">
      <c r="B47" s="21">
        <v>38</v>
      </c>
      <c r="C47" s="22" t="s">
        <v>42</v>
      </c>
      <c r="D47" s="120">
        <f>'８月'!J47</f>
        <v>2865</v>
      </c>
      <c r="E47" s="116">
        <f>'８月'!K47</f>
        <v>1751793</v>
      </c>
      <c r="F47" s="105">
        <v>1207</v>
      </c>
      <c r="G47" s="104">
        <v>505208</v>
      </c>
      <c r="H47" s="103">
        <v>1202</v>
      </c>
      <c r="I47" s="102">
        <v>386057</v>
      </c>
      <c r="J47" s="101">
        <f t="shared" si="0"/>
        <v>2870</v>
      </c>
      <c r="K47" s="100">
        <f t="shared" si="0"/>
        <v>1870944</v>
      </c>
      <c r="L47" s="99"/>
    </row>
    <row r="48" spans="2:12" ht="20.25" customHeight="1">
      <c r="B48" s="21">
        <v>39</v>
      </c>
      <c r="C48" s="22" t="s">
        <v>43</v>
      </c>
      <c r="D48" s="120">
        <f>'８月'!J48</f>
        <v>0</v>
      </c>
      <c r="E48" s="116">
        <f>'８月'!K48</f>
        <v>0</v>
      </c>
      <c r="F48" s="105">
        <v>0</v>
      </c>
      <c r="G48" s="104">
        <v>0</v>
      </c>
      <c r="H48" s="103">
        <v>0</v>
      </c>
      <c r="I48" s="102">
        <v>0</v>
      </c>
      <c r="J48" s="101">
        <f t="shared" si="0"/>
        <v>0</v>
      </c>
      <c r="K48" s="100">
        <f t="shared" si="0"/>
        <v>0</v>
      </c>
      <c r="L48" s="99"/>
    </row>
    <row r="49" spans="2:12" ht="20.25" customHeight="1" thickBot="1">
      <c r="B49" s="23">
        <v>40</v>
      </c>
      <c r="C49" s="24" t="s">
        <v>50</v>
      </c>
      <c r="D49" s="120">
        <f>'８月'!J49</f>
        <v>6995</v>
      </c>
      <c r="E49" s="97">
        <f>'８月'!K49</f>
        <v>2697665</v>
      </c>
      <c r="F49" s="98">
        <v>7168</v>
      </c>
      <c r="G49" s="97">
        <v>2221223</v>
      </c>
      <c r="H49" s="96">
        <v>6531</v>
      </c>
      <c r="I49" s="95">
        <v>2217234</v>
      </c>
      <c r="J49" s="94">
        <f t="shared" si="0"/>
        <v>7632</v>
      </c>
      <c r="K49" s="93">
        <f t="shared" si="0"/>
        <v>2701654</v>
      </c>
      <c r="L49" s="92"/>
    </row>
    <row r="50" spans="2:12" ht="21" customHeight="1" thickBot="1" thickTop="1">
      <c r="B50" s="140" t="s">
        <v>46</v>
      </c>
      <c r="C50" s="141"/>
      <c r="D50" s="91">
        <f aca="true" t="shared" si="1" ref="D50:I50">SUM(D10:D49)</f>
        <v>324515</v>
      </c>
      <c r="E50" s="90">
        <f t="shared" si="1"/>
        <v>76243339</v>
      </c>
      <c r="F50" s="89">
        <f t="shared" si="1"/>
        <v>133477</v>
      </c>
      <c r="G50" s="87">
        <f t="shared" si="1"/>
        <v>29941859</v>
      </c>
      <c r="H50" s="89">
        <f t="shared" si="1"/>
        <v>138064</v>
      </c>
      <c r="I50" s="87">
        <f t="shared" si="1"/>
        <v>39629567</v>
      </c>
      <c r="J50" s="88">
        <f t="shared" si="0"/>
        <v>319928</v>
      </c>
      <c r="K50" s="87">
        <f t="shared" si="0"/>
        <v>66555631</v>
      </c>
      <c r="L50" s="86"/>
    </row>
    <row r="51" spans="10:11" ht="13.5">
      <c r="J51" s="85"/>
      <c r="K51" s="85"/>
    </row>
    <row r="52" spans="10:11" ht="13.5">
      <c r="J52" s="84"/>
      <c r="K52" s="84"/>
    </row>
    <row r="53" spans="10:11" ht="13.5">
      <c r="J53" s="77"/>
      <c r="K53" s="77"/>
    </row>
    <row r="55" spans="4:11" ht="13.5">
      <c r="D55" s="75"/>
      <c r="E55" s="75"/>
      <c r="F55" s="75"/>
      <c r="G55" s="75"/>
      <c r="H55" s="75"/>
      <c r="I55" s="75"/>
      <c r="J55" s="82"/>
      <c r="K55" s="82"/>
    </row>
    <row r="56" spans="4:11" ht="13.5">
      <c r="D56" s="75"/>
      <c r="E56" s="75"/>
      <c r="F56" s="75"/>
      <c r="G56" s="75"/>
      <c r="H56" s="75"/>
      <c r="I56" s="75"/>
      <c r="J56" s="82"/>
      <c r="K56" s="82"/>
    </row>
    <row r="57" spans="4:11" ht="13.5">
      <c r="D57" s="80"/>
      <c r="E57" s="80"/>
      <c r="F57" s="80"/>
      <c r="G57" s="80"/>
      <c r="H57" s="80"/>
      <c r="I57" s="80"/>
      <c r="J57" s="80"/>
      <c r="K57" s="80"/>
    </row>
    <row r="58" spans="4:11" ht="13.5">
      <c r="D58" s="80"/>
      <c r="E58" s="80"/>
      <c r="F58" s="80"/>
      <c r="G58" s="80"/>
      <c r="H58" s="80"/>
      <c r="I58" s="80"/>
      <c r="J58" s="80"/>
      <c r="K58" s="80"/>
    </row>
    <row r="59" spans="4:11" ht="13.5">
      <c r="D59" s="80"/>
      <c r="E59" s="80"/>
      <c r="F59" s="80"/>
      <c r="G59" s="80"/>
      <c r="H59" s="80"/>
      <c r="I59" s="80"/>
      <c r="J59" s="83"/>
      <c r="K59" s="83"/>
    </row>
    <row r="60" spans="4:11" ht="13.5">
      <c r="D60" s="80"/>
      <c r="E60" s="80"/>
      <c r="F60" s="80"/>
      <c r="G60" s="80"/>
      <c r="H60" s="80"/>
      <c r="I60" s="80"/>
      <c r="J60" s="83"/>
      <c r="K60" s="83"/>
    </row>
    <row r="61" spans="4:11" ht="13.5">
      <c r="D61" s="80"/>
      <c r="E61" s="80"/>
      <c r="F61" s="80"/>
      <c r="G61" s="80"/>
      <c r="H61" s="80"/>
      <c r="I61" s="80"/>
      <c r="J61" s="80"/>
      <c r="K61" s="80"/>
    </row>
    <row r="62" spans="4:11" ht="13.5">
      <c r="D62" s="75"/>
      <c r="E62" s="75"/>
      <c r="F62" s="75"/>
      <c r="G62" s="75"/>
      <c r="H62" s="75"/>
      <c r="I62" s="75"/>
      <c r="J62" s="75"/>
      <c r="K62" s="75"/>
    </row>
    <row r="63" spans="4:11" ht="13.5">
      <c r="D63" s="75"/>
      <c r="E63" s="75"/>
      <c r="F63" s="75"/>
      <c r="G63" s="75"/>
      <c r="H63" s="75"/>
      <c r="I63" s="75"/>
      <c r="J63" s="82"/>
      <c r="K63" s="82"/>
    </row>
    <row r="64" spans="4:11" ht="13.5">
      <c r="D64" s="75"/>
      <c r="E64" s="75"/>
      <c r="F64" s="75"/>
      <c r="G64" s="75"/>
      <c r="H64" s="75"/>
      <c r="I64" s="75"/>
      <c r="J64" s="82"/>
      <c r="K64" s="82"/>
    </row>
    <row r="65" spans="4:11" ht="13.5">
      <c r="D65" s="75"/>
      <c r="E65" s="75"/>
      <c r="F65" s="75"/>
      <c r="G65" s="75"/>
      <c r="H65" s="75"/>
      <c r="I65" s="75"/>
      <c r="J65" s="75"/>
      <c r="K65" s="75"/>
    </row>
  </sheetData>
  <sheetProtection/>
  <mergeCells count="9">
    <mergeCell ref="B50:C50"/>
    <mergeCell ref="B2:L2"/>
    <mergeCell ref="J4:L4"/>
    <mergeCell ref="J5:L5"/>
    <mergeCell ref="D7:E7"/>
    <mergeCell ref="F7:G7"/>
    <mergeCell ref="H7:I7"/>
    <mergeCell ref="J7:K7"/>
    <mergeCell ref="L7:L9"/>
  </mergeCells>
  <printOptions horizontalCentered="1"/>
  <pageMargins left="0.3937007874015748" right="0.3937007874015748" top="0.5905511811023623" bottom="0.3937007874015748" header="0" footer="0"/>
  <pageSetup fitToHeight="1" fitToWidth="1" horizontalDpi="300" verticalDpi="3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栃木県倉庫協会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user02</dc:creator>
  <cp:keywords/>
  <dc:description/>
  <cp:lastModifiedBy>FJ-USER</cp:lastModifiedBy>
  <cp:lastPrinted>2016-10-31T07:27:19Z</cp:lastPrinted>
  <dcterms:created xsi:type="dcterms:W3CDTF">2001-03-04T05:07:28Z</dcterms:created>
  <dcterms:modified xsi:type="dcterms:W3CDTF">2016-12-02T06:25:46Z</dcterms:modified>
  <cp:category/>
  <cp:version/>
  <cp:contentType/>
  <cp:contentStatus/>
</cp:coreProperties>
</file>