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8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<sst xmlns="http://schemas.openxmlformats.org/spreadsheetml/2006/main" count="865" uniqueCount="74">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</sst>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28533</v>
      </c>
      <c r="E10" s="116">
        <f>'９月'!K10</f>
        <v>7144802</v>
      </c>
      <c r="F10" s="119"/>
      <c r="G10" s="118"/>
      <c r="H10" s="117"/>
      <c r="I10" s="116"/>
      <c r="J10" s="115">
        <f aca="true" t="shared" si="0" ref="J10:K50">D10+F10-H10</f>
        <v>28533</v>
      </c>
      <c r="K10" s="114">
        <f t="shared" si="0"/>
        <v>7144802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1014</v>
      </c>
      <c r="E11" s="116">
        <f>'９月'!K11</f>
        <v>83580</v>
      </c>
      <c r="F11" s="105"/>
      <c r="G11" s="104"/>
      <c r="H11" s="103"/>
      <c r="I11" s="102"/>
      <c r="J11" s="101">
        <f t="shared" si="0"/>
        <v>1014</v>
      </c>
      <c r="K11" s="100">
        <f t="shared" si="0"/>
        <v>83580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149</v>
      </c>
      <c r="E12" s="116">
        <f>'９月'!K12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3604</v>
      </c>
      <c r="E13" s="116">
        <f>'９月'!K13</f>
        <v>914089</v>
      </c>
      <c r="F13" s="105"/>
      <c r="G13" s="104"/>
      <c r="H13" s="103"/>
      <c r="I13" s="102"/>
      <c r="J13" s="101">
        <f t="shared" si="0"/>
        <v>3604</v>
      </c>
      <c r="K13" s="100">
        <f t="shared" si="0"/>
        <v>914089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1220</v>
      </c>
      <c r="E17" s="116">
        <f>'９月'!K17</f>
        <v>3747624</v>
      </c>
      <c r="F17" s="105"/>
      <c r="G17" s="104"/>
      <c r="H17" s="103"/>
      <c r="I17" s="102"/>
      <c r="J17" s="101">
        <f t="shared" si="0"/>
        <v>1220</v>
      </c>
      <c r="K17" s="100">
        <f t="shared" si="0"/>
        <v>3747624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43</v>
      </c>
      <c r="E18" s="116">
        <f>'９月'!K18</f>
        <v>4430</v>
      </c>
      <c r="F18" s="105"/>
      <c r="G18" s="104"/>
      <c r="H18" s="103"/>
      <c r="I18" s="102"/>
      <c r="J18" s="101">
        <f t="shared" si="0"/>
        <v>43</v>
      </c>
      <c r="K18" s="100">
        <f t="shared" si="0"/>
        <v>4430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8010</v>
      </c>
      <c r="E22" s="116">
        <f>'９月'!K22</f>
        <v>975687</v>
      </c>
      <c r="F22" s="105"/>
      <c r="G22" s="104"/>
      <c r="H22" s="103"/>
      <c r="I22" s="102"/>
      <c r="J22" s="101">
        <f t="shared" si="0"/>
        <v>8010</v>
      </c>
      <c r="K22" s="100">
        <f t="shared" si="0"/>
        <v>975687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3119</v>
      </c>
      <c r="E23" s="116">
        <f>'９月'!K23</f>
        <v>2447037</v>
      </c>
      <c r="F23" s="112"/>
      <c r="G23" s="111"/>
      <c r="H23" s="110"/>
      <c r="I23" s="109"/>
      <c r="J23" s="108">
        <f t="shared" si="0"/>
        <v>3119</v>
      </c>
      <c r="K23" s="107">
        <f t="shared" si="0"/>
        <v>2447037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25568</v>
      </c>
      <c r="E24" s="116">
        <f>'９月'!K24</f>
        <v>3114513</v>
      </c>
      <c r="F24" s="105"/>
      <c r="G24" s="104"/>
      <c r="H24" s="103"/>
      <c r="I24" s="102"/>
      <c r="J24" s="101">
        <f t="shared" si="0"/>
        <v>25568</v>
      </c>
      <c r="K24" s="100">
        <f t="shared" si="0"/>
        <v>3114513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7507</v>
      </c>
      <c r="E25" s="116">
        <f>'９月'!K25</f>
        <v>4856374</v>
      </c>
      <c r="F25" s="105"/>
      <c r="G25" s="104"/>
      <c r="H25" s="103"/>
      <c r="I25" s="102"/>
      <c r="J25" s="101">
        <f t="shared" si="0"/>
        <v>7507</v>
      </c>
      <c r="K25" s="100">
        <f t="shared" si="0"/>
        <v>4856374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18939</v>
      </c>
      <c r="E26" s="116">
        <f>'９月'!K26</f>
        <v>7876617</v>
      </c>
      <c r="F26" s="105"/>
      <c r="G26" s="104"/>
      <c r="H26" s="103"/>
      <c r="I26" s="102"/>
      <c r="J26" s="101">
        <f t="shared" si="0"/>
        <v>18939</v>
      </c>
      <c r="K26" s="100">
        <f t="shared" si="0"/>
        <v>7876617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2180</v>
      </c>
      <c r="E27" s="116">
        <f>'９月'!K27</f>
        <v>353700</v>
      </c>
      <c r="F27" s="105"/>
      <c r="G27" s="104"/>
      <c r="H27" s="103"/>
      <c r="I27" s="102"/>
      <c r="J27" s="101">
        <f t="shared" si="0"/>
        <v>2180</v>
      </c>
      <c r="K27" s="100">
        <f t="shared" si="0"/>
        <v>353700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600</v>
      </c>
      <c r="E28" s="116">
        <f>'９月'!K28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1088</v>
      </c>
      <c r="E29" s="116">
        <f>'９月'!K29</f>
        <v>351481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351481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1278</v>
      </c>
      <c r="E30" s="116">
        <f>'９月'!K30</f>
        <v>518736</v>
      </c>
      <c r="F30" s="112"/>
      <c r="G30" s="111"/>
      <c r="H30" s="110"/>
      <c r="I30" s="109"/>
      <c r="J30" s="108">
        <f t="shared" si="0"/>
        <v>1278</v>
      </c>
      <c r="K30" s="107">
        <f t="shared" si="0"/>
        <v>518736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29</v>
      </c>
      <c r="E32" s="116">
        <f>'９月'!K32</f>
        <v>30055</v>
      </c>
      <c r="F32" s="112"/>
      <c r="G32" s="111"/>
      <c r="H32" s="110"/>
      <c r="I32" s="109"/>
      <c r="J32" s="108">
        <f t="shared" si="0"/>
        <v>29</v>
      </c>
      <c r="K32" s="107">
        <f t="shared" si="0"/>
        <v>30055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25642</v>
      </c>
      <c r="E33" s="116">
        <f>'９月'!K33</f>
        <v>8000742</v>
      </c>
      <c r="F33" s="112"/>
      <c r="G33" s="111"/>
      <c r="H33" s="72"/>
      <c r="I33" s="109"/>
      <c r="J33" s="108">
        <f t="shared" si="0"/>
        <v>25642</v>
      </c>
      <c r="K33" s="107">
        <f t="shared" si="0"/>
        <v>8000742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81839</v>
      </c>
      <c r="E34" s="116">
        <f>'９月'!K34</f>
        <v>7499256</v>
      </c>
      <c r="F34" s="112"/>
      <c r="G34" s="111"/>
      <c r="H34" s="110"/>
      <c r="I34" s="109"/>
      <c r="J34" s="108">
        <f t="shared" si="0"/>
        <v>81839</v>
      </c>
      <c r="K34" s="107">
        <f t="shared" si="0"/>
        <v>7499256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576</v>
      </c>
      <c r="E35" s="116">
        <f>'９月'!K35</f>
        <v>69107</v>
      </c>
      <c r="F35" s="112"/>
      <c r="G35" s="111"/>
      <c r="H35" s="110"/>
      <c r="I35" s="109"/>
      <c r="J35" s="108">
        <f t="shared" si="0"/>
        <v>576</v>
      </c>
      <c r="K35" s="107">
        <f t="shared" si="0"/>
        <v>69107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148</v>
      </c>
      <c r="E36" s="116">
        <f>'９月'!K36</f>
        <v>29920</v>
      </c>
      <c r="F36" s="112"/>
      <c r="G36" s="111"/>
      <c r="H36" s="110"/>
      <c r="I36" s="109"/>
      <c r="J36" s="108">
        <f t="shared" si="0"/>
        <v>148</v>
      </c>
      <c r="K36" s="107">
        <f t="shared" si="0"/>
        <v>29920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767</v>
      </c>
      <c r="E38" s="116">
        <f>'９月'!K38</f>
        <v>147920</v>
      </c>
      <c r="F38" s="112"/>
      <c r="G38" s="111"/>
      <c r="H38" s="110"/>
      <c r="I38" s="109"/>
      <c r="J38" s="108">
        <f t="shared" si="0"/>
        <v>767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28723</v>
      </c>
      <c r="E42" s="116">
        <f>'９月'!K42</f>
        <v>3663280</v>
      </c>
      <c r="F42" s="112"/>
      <c r="G42" s="111"/>
      <c r="H42" s="110"/>
      <c r="I42" s="109"/>
      <c r="J42" s="108">
        <f t="shared" si="0"/>
        <v>28723</v>
      </c>
      <c r="K42" s="107">
        <f t="shared" si="0"/>
        <v>3663280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5712</v>
      </c>
      <c r="E43" s="116">
        <f>'９月'!K43</f>
        <v>1796719</v>
      </c>
      <c r="F43" s="112"/>
      <c r="G43" s="111"/>
      <c r="H43" s="110"/>
      <c r="I43" s="109"/>
      <c r="J43" s="108">
        <f t="shared" si="0"/>
        <v>5712</v>
      </c>
      <c r="K43" s="107">
        <f t="shared" si="0"/>
        <v>1796719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113280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113280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6627</v>
      </c>
      <c r="E45" s="116">
        <f>'９月'!K45</f>
        <v>3304023</v>
      </c>
      <c r="F45" s="112"/>
      <c r="G45" s="111"/>
      <c r="H45" s="110"/>
      <c r="I45" s="109"/>
      <c r="J45" s="108">
        <f t="shared" si="0"/>
        <v>6627</v>
      </c>
      <c r="K45" s="107">
        <f t="shared" si="0"/>
        <v>3304023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8221</v>
      </c>
      <c r="E46" s="116">
        <f>'９月'!K46</f>
        <v>1368858</v>
      </c>
      <c r="F46" s="105"/>
      <c r="G46" s="104"/>
      <c r="H46" s="103"/>
      <c r="I46" s="102"/>
      <c r="J46" s="101">
        <f t="shared" si="0"/>
        <v>8221</v>
      </c>
      <c r="K46" s="100">
        <f t="shared" si="0"/>
        <v>1368858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6244</v>
      </c>
      <c r="E47" s="116">
        <f>'９月'!K47</f>
        <v>3410484</v>
      </c>
      <c r="F47" s="105"/>
      <c r="G47" s="104"/>
      <c r="H47" s="103"/>
      <c r="I47" s="102"/>
      <c r="J47" s="101">
        <f t="shared" si="0"/>
        <v>6244</v>
      </c>
      <c r="K47" s="100">
        <f t="shared" si="0"/>
        <v>3410484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4802</v>
      </c>
      <c r="E49" s="97">
        <f>'９月'!K49</f>
        <v>2157277</v>
      </c>
      <c r="F49" s="98"/>
      <c r="G49" s="97"/>
      <c r="H49" s="96"/>
      <c r="I49" s="95"/>
      <c r="J49" s="94">
        <f t="shared" si="0"/>
        <v>4802</v>
      </c>
      <c r="K49" s="93">
        <f t="shared" si="0"/>
        <v>2157277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273423</v>
      </c>
      <c r="E50" s="90">
        <f t="shared" si="1"/>
        <v>65345781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273423</v>
      </c>
      <c r="K50" s="87">
        <f t="shared" si="0"/>
        <v>65345781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28533</v>
      </c>
      <c r="E10" s="116">
        <f>'１０月'!K10</f>
        <v>7144802</v>
      </c>
      <c r="F10" s="119"/>
      <c r="G10" s="118"/>
      <c r="H10" s="117"/>
      <c r="I10" s="116"/>
      <c r="J10" s="115">
        <f aca="true" t="shared" si="0" ref="J10:K50">D10+F10-H10</f>
        <v>28533</v>
      </c>
      <c r="K10" s="114">
        <f t="shared" si="0"/>
        <v>7144802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1014</v>
      </c>
      <c r="E11" s="116">
        <f>'１０月'!K11</f>
        <v>83580</v>
      </c>
      <c r="F11" s="105"/>
      <c r="G11" s="104"/>
      <c r="H11" s="103"/>
      <c r="I11" s="102"/>
      <c r="J11" s="101">
        <f t="shared" si="0"/>
        <v>1014</v>
      </c>
      <c r="K11" s="100">
        <f t="shared" si="0"/>
        <v>83580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149</v>
      </c>
      <c r="E12" s="116">
        <f>'１０月'!K12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3604</v>
      </c>
      <c r="E13" s="116">
        <f>'１０月'!K13</f>
        <v>914089</v>
      </c>
      <c r="F13" s="105"/>
      <c r="G13" s="104"/>
      <c r="H13" s="103"/>
      <c r="I13" s="102"/>
      <c r="J13" s="101">
        <f t="shared" si="0"/>
        <v>3604</v>
      </c>
      <c r="K13" s="100">
        <f t="shared" si="0"/>
        <v>914089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1220</v>
      </c>
      <c r="E17" s="116">
        <f>'１０月'!K17</f>
        <v>3747624</v>
      </c>
      <c r="F17" s="105"/>
      <c r="G17" s="104"/>
      <c r="H17" s="103"/>
      <c r="I17" s="102"/>
      <c r="J17" s="101">
        <f t="shared" si="0"/>
        <v>1220</v>
      </c>
      <c r="K17" s="100">
        <f t="shared" si="0"/>
        <v>3747624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43</v>
      </c>
      <c r="E18" s="116">
        <f>'１０月'!K18</f>
        <v>4430</v>
      </c>
      <c r="F18" s="105"/>
      <c r="G18" s="104"/>
      <c r="H18" s="103"/>
      <c r="I18" s="102"/>
      <c r="J18" s="101">
        <f t="shared" si="0"/>
        <v>43</v>
      </c>
      <c r="K18" s="100">
        <f t="shared" si="0"/>
        <v>4430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8010</v>
      </c>
      <c r="E22" s="116">
        <f>'１０月'!K22</f>
        <v>975687</v>
      </c>
      <c r="F22" s="105"/>
      <c r="G22" s="104"/>
      <c r="H22" s="103"/>
      <c r="I22" s="102"/>
      <c r="J22" s="101">
        <f t="shared" si="0"/>
        <v>8010</v>
      </c>
      <c r="K22" s="100">
        <f t="shared" si="0"/>
        <v>975687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3119</v>
      </c>
      <c r="E23" s="116">
        <f>'１０月'!K23</f>
        <v>2447037</v>
      </c>
      <c r="F23" s="112"/>
      <c r="G23" s="111"/>
      <c r="H23" s="110"/>
      <c r="I23" s="109"/>
      <c r="J23" s="108">
        <f t="shared" si="0"/>
        <v>3119</v>
      </c>
      <c r="K23" s="107">
        <f t="shared" si="0"/>
        <v>2447037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25568</v>
      </c>
      <c r="E24" s="116">
        <f>'１０月'!K24</f>
        <v>3114513</v>
      </c>
      <c r="F24" s="105"/>
      <c r="G24" s="104"/>
      <c r="H24" s="103"/>
      <c r="I24" s="102"/>
      <c r="J24" s="101">
        <f t="shared" si="0"/>
        <v>25568</v>
      </c>
      <c r="K24" s="100">
        <f t="shared" si="0"/>
        <v>3114513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7507</v>
      </c>
      <c r="E25" s="116">
        <f>'１０月'!K25</f>
        <v>4856374</v>
      </c>
      <c r="F25" s="105"/>
      <c r="G25" s="104"/>
      <c r="H25" s="103"/>
      <c r="I25" s="102"/>
      <c r="J25" s="101">
        <f t="shared" si="0"/>
        <v>7507</v>
      </c>
      <c r="K25" s="100">
        <f t="shared" si="0"/>
        <v>4856374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18939</v>
      </c>
      <c r="E26" s="116">
        <f>'１０月'!K26</f>
        <v>7876617</v>
      </c>
      <c r="F26" s="105"/>
      <c r="G26" s="104"/>
      <c r="H26" s="103"/>
      <c r="I26" s="102"/>
      <c r="J26" s="101">
        <f t="shared" si="0"/>
        <v>18939</v>
      </c>
      <c r="K26" s="100">
        <f t="shared" si="0"/>
        <v>7876617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2180</v>
      </c>
      <c r="E27" s="116">
        <f>'１０月'!K27</f>
        <v>353700</v>
      </c>
      <c r="F27" s="105"/>
      <c r="G27" s="104"/>
      <c r="H27" s="103"/>
      <c r="I27" s="102"/>
      <c r="J27" s="101">
        <f t="shared" si="0"/>
        <v>2180</v>
      </c>
      <c r="K27" s="100">
        <f t="shared" si="0"/>
        <v>353700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600</v>
      </c>
      <c r="E28" s="116">
        <f>'１０月'!K28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1088</v>
      </c>
      <c r="E29" s="116">
        <f>'１０月'!K29</f>
        <v>351481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351481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1278</v>
      </c>
      <c r="E30" s="116">
        <f>'１０月'!K30</f>
        <v>518736</v>
      </c>
      <c r="F30" s="112"/>
      <c r="G30" s="111"/>
      <c r="H30" s="110"/>
      <c r="I30" s="109"/>
      <c r="J30" s="108">
        <f t="shared" si="0"/>
        <v>1278</v>
      </c>
      <c r="K30" s="107">
        <f t="shared" si="0"/>
        <v>518736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29</v>
      </c>
      <c r="E32" s="116">
        <f>'１０月'!K32</f>
        <v>30055</v>
      </c>
      <c r="F32" s="112"/>
      <c r="G32" s="111"/>
      <c r="H32" s="110"/>
      <c r="I32" s="109"/>
      <c r="J32" s="108">
        <f t="shared" si="0"/>
        <v>29</v>
      </c>
      <c r="K32" s="107">
        <f t="shared" si="0"/>
        <v>30055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25642</v>
      </c>
      <c r="E33" s="116">
        <f>'１０月'!K33</f>
        <v>8000742</v>
      </c>
      <c r="F33" s="112"/>
      <c r="G33" s="111"/>
      <c r="H33" s="72"/>
      <c r="I33" s="109"/>
      <c r="J33" s="108">
        <f t="shared" si="0"/>
        <v>25642</v>
      </c>
      <c r="K33" s="107">
        <f t="shared" si="0"/>
        <v>8000742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81839</v>
      </c>
      <c r="E34" s="116">
        <f>'１０月'!K34</f>
        <v>7499256</v>
      </c>
      <c r="F34" s="112"/>
      <c r="G34" s="111"/>
      <c r="H34" s="110"/>
      <c r="I34" s="109"/>
      <c r="J34" s="108">
        <f t="shared" si="0"/>
        <v>81839</v>
      </c>
      <c r="K34" s="107">
        <f t="shared" si="0"/>
        <v>7499256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576</v>
      </c>
      <c r="E35" s="116">
        <f>'１０月'!K35</f>
        <v>69107</v>
      </c>
      <c r="F35" s="112"/>
      <c r="G35" s="111"/>
      <c r="H35" s="110"/>
      <c r="I35" s="109"/>
      <c r="J35" s="108">
        <f t="shared" si="0"/>
        <v>576</v>
      </c>
      <c r="K35" s="107">
        <f t="shared" si="0"/>
        <v>69107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148</v>
      </c>
      <c r="E36" s="116">
        <f>'１０月'!K36</f>
        <v>29920</v>
      </c>
      <c r="F36" s="112"/>
      <c r="G36" s="111"/>
      <c r="H36" s="110"/>
      <c r="I36" s="109"/>
      <c r="J36" s="108">
        <f t="shared" si="0"/>
        <v>148</v>
      </c>
      <c r="K36" s="107">
        <f t="shared" si="0"/>
        <v>29920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767</v>
      </c>
      <c r="E38" s="116">
        <f>'１０月'!K38</f>
        <v>147920</v>
      </c>
      <c r="F38" s="112"/>
      <c r="G38" s="111"/>
      <c r="H38" s="110"/>
      <c r="I38" s="109"/>
      <c r="J38" s="108">
        <f t="shared" si="0"/>
        <v>767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1164</v>
      </c>
      <c r="E39" s="116">
        <f>'１０月'!K39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28723</v>
      </c>
      <c r="E42" s="116">
        <f>'１０月'!K42</f>
        <v>3663280</v>
      </c>
      <c r="F42" s="112"/>
      <c r="G42" s="111"/>
      <c r="H42" s="110"/>
      <c r="I42" s="109"/>
      <c r="J42" s="108">
        <f t="shared" si="0"/>
        <v>28723</v>
      </c>
      <c r="K42" s="107">
        <f t="shared" si="0"/>
        <v>3663280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5712</v>
      </c>
      <c r="E43" s="116">
        <f>'１０月'!K43</f>
        <v>1796719</v>
      </c>
      <c r="F43" s="112"/>
      <c r="G43" s="111"/>
      <c r="H43" s="110"/>
      <c r="I43" s="109"/>
      <c r="J43" s="108">
        <f t="shared" si="0"/>
        <v>5712</v>
      </c>
      <c r="K43" s="107">
        <f t="shared" si="0"/>
        <v>1796719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77</v>
      </c>
      <c r="E44" s="116">
        <f>'１０月'!K44</f>
        <v>113280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113280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6627</v>
      </c>
      <c r="E45" s="116">
        <f>'１０月'!K45</f>
        <v>3304023</v>
      </c>
      <c r="F45" s="112"/>
      <c r="G45" s="111"/>
      <c r="H45" s="110"/>
      <c r="I45" s="109"/>
      <c r="J45" s="108">
        <f t="shared" si="0"/>
        <v>6627</v>
      </c>
      <c r="K45" s="107">
        <f t="shared" si="0"/>
        <v>3304023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8221</v>
      </c>
      <c r="E46" s="116">
        <f>'１０月'!K46</f>
        <v>1368858</v>
      </c>
      <c r="F46" s="105"/>
      <c r="G46" s="104"/>
      <c r="H46" s="103"/>
      <c r="I46" s="102"/>
      <c r="J46" s="101">
        <f t="shared" si="0"/>
        <v>8221</v>
      </c>
      <c r="K46" s="100">
        <f t="shared" si="0"/>
        <v>1368858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6244</v>
      </c>
      <c r="E47" s="116">
        <f>'１０月'!K47</f>
        <v>3410484</v>
      </c>
      <c r="F47" s="105"/>
      <c r="G47" s="104"/>
      <c r="H47" s="103"/>
      <c r="I47" s="102"/>
      <c r="J47" s="101">
        <f t="shared" si="0"/>
        <v>6244</v>
      </c>
      <c r="K47" s="100">
        <f t="shared" si="0"/>
        <v>3410484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4802</v>
      </c>
      <c r="E49" s="97">
        <f>'１０月'!K49</f>
        <v>2157277</v>
      </c>
      <c r="F49" s="98"/>
      <c r="G49" s="97"/>
      <c r="H49" s="96"/>
      <c r="I49" s="95"/>
      <c r="J49" s="94">
        <f t="shared" si="0"/>
        <v>4802</v>
      </c>
      <c r="K49" s="93">
        <f t="shared" si="0"/>
        <v>2157277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273423</v>
      </c>
      <c r="E50" s="90">
        <f t="shared" si="1"/>
        <v>65345781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273423</v>
      </c>
      <c r="K50" s="87">
        <f t="shared" si="0"/>
        <v>65345781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28533</v>
      </c>
      <c r="E10" s="116">
        <f>'１１月'!K10</f>
        <v>7144802</v>
      </c>
      <c r="F10" s="119"/>
      <c r="G10" s="118"/>
      <c r="H10" s="117"/>
      <c r="I10" s="116"/>
      <c r="J10" s="115">
        <f aca="true" t="shared" si="0" ref="J10:K50">D10+F10-H10</f>
        <v>28533</v>
      </c>
      <c r="K10" s="114">
        <f t="shared" si="0"/>
        <v>7144802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1014</v>
      </c>
      <c r="E11" s="116">
        <f>'１１月'!K11</f>
        <v>83580</v>
      </c>
      <c r="F11" s="105"/>
      <c r="G11" s="104"/>
      <c r="H11" s="103"/>
      <c r="I11" s="102"/>
      <c r="J11" s="101">
        <f t="shared" si="0"/>
        <v>1014</v>
      </c>
      <c r="K11" s="100">
        <f t="shared" si="0"/>
        <v>83580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149</v>
      </c>
      <c r="E12" s="116">
        <f>'１１月'!K12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3604</v>
      </c>
      <c r="E13" s="116">
        <f>'１１月'!K13</f>
        <v>914089</v>
      </c>
      <c r="F13" s="105"/>
      <c r="G13" s="104"/>
      <c r="H13" s="103"/>
      <c r="I13" s="102"/>
      <c r="J13" s="101">
        <f t="shared" si="0"/>
        <v>3604</v>
      </c>
      <c r="K13" s="100">
        <f t="shared" si="0"/>
        <v>914089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1220</v>
      </c>
      <c r="E17" s="116">
        <f>'１１月'!K17</f>
        <v>3747624</v>
      </c>
      <c r="F17" s="105"/>
      <c r="G17" s="104"/>
      <c r="H17" s="103"/>
      <c r="I17" s="102"/>
      <c r="J17" s="101">
        <f t="shared" si="0"/>
        <v>1220</v>
      </c>
      <c r="K17" s="100">
        <f t="shared" si="0"/>
        <v>3747624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43</v>
      </c>
      <c r="E18" s="116">
        <f>'１１月'!K18</f>
        <v>4430</v>
      </c>
      <c r="F18" s="105"/>
      <c r="G18" s="104"/>
      <c r="H18" s="103"/>
      <c r="I18" s="102"/>
      <c r="J18" s="101">
        <f t="shared" si="0"/>
        <v>43</v>
      </c>
      <c r="K18" s="100">
        <f t="shared" si="0"/>
        <v>4430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8010</v>
      </c>
      <c r="E22" s="116">
        <f>'１１月'!K22</f>
        <v>975687</v>
      </c>
      <c r="F22" s="105"/>
      <c r="G22" s="104"/>
      <c r="H22" s="103"/>
      <c r="I22" s="102"/>
      <c r="J22" s="101">
        <f t="shared" si="0"/>
        <v>8010</v>
      </c>
      <c r="K22" s="100">
        <f t="shared" si="0"/>
        <v>975687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3119</v>
      </c>
      <c r="E23" s="116">
        <f>'１１月'!K23</f>
        <v>2447037</v>
      </c>
      <c r="F23" s="112"/>
      <c r="G23" s="111"/>
      <c r="H23" s="110"/>
      <c r="I23" s="109"/>
      <c r="J23" s="108">
        <f t="shared" si="0"/>
        <v>3119</v>
      </c>
      <c r="K23" s="107">
        <f t="shared" si="0"/>
        <v>2447037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25568</v>
      </c>
      <c r="E24" s="116">
        <f>'１１月'!K24</f>
        <v>3114513</v>
      </c>
      <c r="F24" s="105"/>
      <c r="G24" s="104"/>
      <c r="H24" s="103"/>
      <c r="I24" s="102"/>
      <c r="J24" s="101">
        <f t="shared" si="0"/>
        <v>25568</v>
      </c>
      <c r="K24" s="100">
        <f t="shared" si="0"/>
        <v>3114513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7507</v>
      </c>
      <c r="E25" s="116">
        <f>'１１月'!K25</f>
        <v>4856374</v>
      </c>
      <c r="F25" s="105"/>
      <c r="G25" s="104"/>
      <c r="H25" s="103"/>
      <c r="I25" s="102"/>
      <c r="J25" s="101">
        <f t="shared" si="0"/>
        <v>7507</v>
      </c>
      <c r="K25" s="100">
        <f t="shared" si="0"/>
        <v>4856374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18939</v>
      </c>
      <c r="E26" s="116">
        <f>'１１月'!K26</f>
        <v>7876617</v>
      </c>
      <c r="F26" s="105"/>
      <c r="G26" s="104"/>
      <c r="H26" s="103"/>
      <c r="I26" s="102"/>
      <c r="J26" s="101">
        <f t="shared" si="0"/>
        <v>18939</v>
      </c>
      <c r="K26" s="100">
        <f t="shared" si="0"/>
        <v>7876617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2180</v>
      </c>
      <c r="E27" s="116">
        <f>'１１月'!K27</f>
        <v>353700</v>
      </c>
      <c r="F27" s="105"/>
      <c r="G27" s="104"/>
      <c r="H27" s="103"/>
      <c r="I27" s="102"/>
      <c r="J27" s="101">
        <f t="shared" si="0"/>
        <v>2180</v>
      </c>
      <c r="K27" s="100">
        <f t="shared" si="0"/>
        <v>353700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600</v>
      </c>
      <c r="E28" s="116">
        <f>'１１月'!K28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1088</v>
      </c>
      <c r="E29" s="116">
        <f>'１１月'!K29</f>
        <v>351481</v>
      </c>
      <c r="F29" s="74"/>
      <c r="G29" s="111"/>
      <c r="H29" s="110"/>
      <c r="I29" s="109"/>
      <c r="J29" s="108">
        <f t="shared" si="0"/>
        <v>1088</v>
      </c>
      <c r="K29" s="107">
        <f t="shared" si="0"/>
        <v>351481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1278</v>
      </c>
      <c r="E30" s="116">
        <f>'１１月'!K30</f>
        <v>518736</v>
      </c>
      <c r="F30" s="112"/>
      <c r="G30" s="111"/>
      <c r="H30" s="110"/>
      <c r="I30" s="109"/>
      <c r="J30" s="108">
        <f t="shared" si="0"/>
        <v>1278</v>
      </c>
      <c r="K30" s="107">
        <f t="shared" si="0"/>
        <v>518736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29</v>
      </c>
      <c r="E32" s="116">
        <f>'１１月'!K32</f>
        <v>30055</v>
      </c>
      <c r="F32" s="112"/>
      <c r="G32" s="111"/>
      <c r="H32" s="110"/>
      <c r="I32" s="109"/>
      <c r="J32" s="108">
        <f t="shared" si="0"/>
        <v>29</v>
      </c>
      <c r="K32" s="107">
        <f t="shared" si="0"/>
        <v>30055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25642</v>
      </c>
      <c r="E33" s="116">
        <f>'１１月'!K33</f>
        <v>8000742</v>
      </c>
      <c r="F33" s="112"/>
      <c r="G33" s="111"/>
      <c r="H33" s="72"/>
      <c r="I33" s="109"/>
      <c r="J33" s="108">
        <f t="shared" si="0"/>
        <v>25642</v>
      </c>
      <c r="K33" s="107">
        <f t="shared" si="0"/>
        <v>8000742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81839</v>
      </c>
      <c r="E34" s="116">
        <f>'１１月'!K34</f>
        <v>7499256</v>
      </c>
      <c r="F34" s="112"/>
      <c r="G34" s="111"/>
      <c r="H34" s="110"/>
      <c r="I34" s="109"/>
      <c r="J34" s="108">
        <f t="shared" si="0"/>
        <v>81839</v>
      </c>
      <c r="K34" s="107">
        <f t="shared" si="0"/>
        <v>7499256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576</v>
      </c>
      <c r="E35" s="116">
        <f>'１１月'!K35</f>
        <v>69107</v>
      </c>
      <c r="F35" s="112"/>
      <c r="G35" s="111"/>
      <c r="H35" s="110"/>
      <c r="I35" s="109"/>
      <c r="J35" s="108">
        <f t="shared" si="0"/>
        <v>576</v>
      </c>
      <c r="K35" s="107">
        <f t="shared" si="0"/>
        <v>69107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148</v>
      </c>
      <c r="E36" s="116">
        <f>'１１月'!K36</f>
        <v>29920</v>
      </c>
      <c r="F36" s="112"/>
      <c r="G36" s="111"/>
      <c r="H36" s="110"/>
      <c r="I36" s="109"/>
      <c r="J36" s="108">
        <f t="shared" si="0"/>
        <v>148</v>
      </c>
      <c r="K36" s="107">
        <f t="shared" si="0"/>
        <v>29920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767</v>
      </c>
      <c r="E38" s="116">
        <f>'１１月'!K38</f>
        <v>147920</v>
      </c>
      <c r="F38" s="112"/>
      <c r="G38" s="111"/>
      <c r="H38" s="110"/>
      <c r="I38" s="109"/>
      <c r="J38" s="108">
        <f t="shared" si="0"/>
        <v>767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1164</v>
      </c>
      <c r="E39" s="116">
        <f>'１１月'!K39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28723</v>
      </c>
      <c r="E42" s="116">
        <f>'１１月'!K42</f>
        <v>3663280</v>
      </c>
      <c r="F42" s="112"/>
      <c r="G42" s="111"/>
      <c r="H42" s="110"/>
      <c r="I42" s="109"/>
      <c r="J42" s="108">
        <f t="shared" si="0"/>
        <v>28723</v>
      </c>
      <c r="K42" s="107">
        <f t="shared" si="0"/>
        <v>3663280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5712</v>
      </c>
      <c r="E43" s="116">
        <f>'１１月'!K43</f>
        <v>1796719</v>
      </c>
      <c r="F43" s="112"/>
      <c r="G43" s="111"/>
      <c r="H43" s="110"/>
      <c r="I43" s="109"/>
      <c r="J43" s="108">
        <f t="shared" si="0"/>
        <v>5712</v>
      </c>
      <c r="K43" s="107">
        <f t="shared" si="0"/>
        <v>1796719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77</v>
      </c>
      <c r="E44" s="116">
        <f>'１１月'!K44</f>
        <v>113280</v>
      </c>
      <c r="F44" s="112"/>
      <c r="G44" s="111"/>
      <c r="H44" s="110"/>
      <c r="I44" s="109"/>
      <c r="J44" s="108">
        <f t="shared" si="0"/>
        <v>77</v>
      </c>
      <c r="K44" s="107">
        <f t="shared" si="0"/>
        <v>113280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6627</v>
      </c>
      <c r="E45" s="116">
        <f>'１１月'!K45</f>
        <v>3304023</v>
      </c>
      <c r="F45" s="112"/>
      <c r="G45" s="111"/>
      <c r="H45" s="110"/>
      <c r="I45" s="109"/>
      <c r="J45" s="108">
        <f t="shared" si="0"/>
        <v>6627</v>
      </c>
      <c r="K45" s="107">
        <f t="shared" si="0"/>
        <v>3304023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8221</v>
      </c>
      <c r="E46" s="116">
        <f>'１１月'!K46</f>
        <v>1368858</v>
      </c>
      <c r="F46" s="105"/>
      <c r="G46" s="104"/>
      <c r="H46" s="103"/>
      <c r="I46" s="102"/>
      <c r="J46" s="101">
        <f t="shared" si="0"/>
        <v>8221</v>
      </c>
      <c r="K46" s="100">
        <f t="shared" si="0"/>
        <v>1368858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6244</v>
      </c>
      <c r="E47" s="116">
        <f>'１１月'!K47</f>
        <v>3410484</v>
      </c>
      <c r="F47" s="105"/>
      <c r="G47" s="104"/>
      <c r="H47" s="103"/>
      <c r="I47" s="102"/>
      <c r="J47" s="101">
        <f t="shared" si="0"/>
        <v>6244</v>
      </c>
      <c r="K47" s="100">
        <f t="shared" si="0"/>
        <v>3410484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4802</v>
      </c>
      <c r="E49" s="97">
        <f>'１１月'!K49</f>
        <v>2157277</v>
      </c>
      <c r="F49" s="98"/>
      <c r="G49" s="97"/>
      <c r="H49" s="96"/>
      <c r="I49" s="95"/>
      <c r="J49" s="94">
        <f t="shared" si="0"/>
        <v>4802</v>
      </c>
      <c r="K49" s="93">
        <f t="shared" si="0"/>
        <v>2157277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273423</v>
      </c>
      <c r="E50" s="90">
        <f t="shared" si="1"/>
        <v>65345781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273423</v>
      </c>
      <c r="K50" s="87">
        <f t="shared" si="0"/>
        <v>65345781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>
        <v>2359</v>
      </c>
      <c r="G10" s="118">
        <v>390774</v>
      </c>
      <c r="H10" s="117">
        <v>2931</v>
      </c>
      <c r="I10" s="116">
        <v>706207</v>
      </c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>
        <v>664</v>
      </c>
      <c r="G13" s="104">
        <v>165307</v>
      </c>
      <c r="H13" s="103">
        <v>785</v>
      </c>
      <c r="I13" s="102">
        <v>192147</v>
      </c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>
        <v>1206</v>
      </c>
      <c r="G17" s="104">
        <v>3618000</v>
      </c>
      <c r="H17" s="103">
        <v>882</v>
      </c>
      <c r="I17" s="102">
        <v>2646000</v>
      </c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>
        <v>60</v>
      </c>
      <c r="G18" s="104">
        <v>5700</v>
      </c>
      <c r="H18" s="103">
        <v>65</v>
      </c>
      <c r="I18" s="102">
        <v>7020</v>
      </c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>
        <v>1703</v>
      </c>
      <c r="G22" s="104">
        <v>229140</v>
      </c>
      <c r="H22" s="103">
        <v>2330</v>
      </c>
      <c r="I22" s="102">
        <v>300540</v>
      </c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>
        <v>1234</v>
      </c>
      <c r="G23" s="111">
        <v>1683450</v>
      </c>
      <c r="H23" s="110">
        <v>1344</v>
      </c>
      <c r="I23" s="109">
        <v>1944759</v>
      </c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>
        <v>1137</v>
      </c>
      <c r="G24" s="104">
        <v>1544895</v>
      </c>
      <c r="H24" s="103">
        <v>1096</v>
      </c>
      <c r="I24" s="102">
        <v>1472894</v>
      </c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>
        <f>4737+37</f>
        <v>4774</v>
      </c>
      <c r="G25" s="104">
        <f>3007337+142092</f>
        <v>3149429</v>
      </c>
      <c r="H25" s="103">
        <f>4373+23</f>
        <v>4396</v>
      </c>
      <c r="I25" s="102">
        <f>1048158+106621</f>
        <v>1154779</v>
      </c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>
        <v>5815</v>
      </c>
      <c r="G26" s="104">
        <v>1792538</v>
      </c>
      <c r="H26" s="103">
        <v>5641</v>
      </c>
      <c r="I26" s="102">
        <v>933261</v>
      </c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>
        <v>387</v>
      </c>
      <c r="G27" s="104">
        <v>91350</v>
      </c>
      <c r="H27" s="103">
        <v>369</v>
      </c>
      <c r="I27" s="102">
        <v>89450</v>
      </c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>
        <v>860</v>
      </c>
      <c r="G28" s="104">
        <v>94600</v>
      </c>
      <c r="H28" s="103">
        <v>840</v>
      </c>
      <c r="I28" s="102">
        <v>92400</v>
      </c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>
        <f>27+82</f>
        <v>109</v>
      </c>
      <c r="G29" s="111">
        <f>5400+64650</f>
        <v>70050</v>
      </c>
      <c r="H29" s="110">
        <f>20+36</f>
        <v>56</v>
      </c>
      <c r="I29" s="109">
        <f>4000+54760</f>
        <v>58760</v>
      </c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>
        <f>363+272</f>
        <v>635</v>
      </c>
      <c r="G30" s="111">
        <f>156570+81326</f>
        <v>237896</v>
      </c>
      <c r="H30" s="110">
        <f>315+324</f>
        <v>639</v>
      </c>
      <c r="I30" s="109">
        <f>185700+116312</f>
        <v>302012</v>
      </c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>
        <v>0</v>
      </c>
      <c r="G32" s="111">
        <v>4000</v>
      </c>
      <c r="H32" s="110">
        <v>7</v>
      </c>
      <c r="I32" s="109">
        <v>8455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>
        <v>19634</v>
      </c>
      <c r="G33" s="111">
        <v>5968195</v>
      </c>
      <c r="H33" s="72">
        <v>17506</v>
      </c>
      <c r="I33" s="109">
        <v>5267258</v>
      </c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>
        <f>39650+159</f>
        <v>39809</v>
      </c>
      <c r="G34" s="111">
        <f>6654863+293100</f>
        <v>6947963</v>
      </c>
      <c r="H34" s="110">
        <f>29564+150</f>
        <v>29714</v>
      </c>
      <c r="I34" s="109">
        <f>4616617+294500</f>
        <v>4911117</v>
      </c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>
        <v>632</v>
      </c>
      <c r="G35" s="111">
        <v>79936</v>
      </c>
      <c r="H35" s="110">
        <v>811</v>
      </c>
      <c r="I35" s="109">
        <v>104383</v>
      </c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>
        <v>0</v>
      </c>
      <c r="G36" s="111">
        <v>0</v>
      </c>
      <c r="H36" s="110">
        <v>77</v>
      </c>
      <c r="I36" s="109">
        <v>15440</v>
      </c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>
        <v>41</v>
      </c>
      <c r="G38" s="111">
        <v>9280</v>
      </c>
      <c r="H38" s="110">
        <v>76</v>
      </c>
      <c r="I38" s="109">
        <v>14160</v>
      </c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>
        <v>200</v>
      </c>
      <c r="G39" s="111">
        <v>220000</v>
      </c>
      <c r="H39" s="110">
        <v>400</v>
      </c>
      <c r="I39" s="109">
        <v>440000</v>
      </c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>
        <v>28448</v>
      </c>
      <c r="G42" s="111">
        <v>8005705</v>
      </c>
      <c r="H42" s="110">
        <v>22768</v>
      </c>
      <c r="I42" s="109">
        <v>6427122</v>
      </c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>
        <v>7252</v>
      </c>
      <c r="G43" s="111">
        <v>2439679</v>
      </c>
      <c r="H43" s="110">
        <v>7758</v>
      </c>
      <c r="I43" s="109">
        <v>2610332</v>
      </c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>
        <v>59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>
        <v>1658</v>
      </c>
      <c r="G45" s="137">
        <v>526517</v>
      </c>
      <c r="H45" s="110">
        <v>2146</v>
      </c>
      <c r="I45" s="109">
        <v>582665</v>
      </c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>
        <v>3876</v>
      </c>
      <c r="G46" s="104">
        <v>703241</v>
      </c>
      <c r="H46" s="103">
        <v>4242</v>
      </c>
      <c r="I46" s="102">
        <v>766671</v>
      </c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>
        <v>1595</v>
      </c>
      <c r="G47" s="104">
        <v>1048900</v>
      </c>
      <c r="H47" s="103">
        <v>1523</v>
      </c>
      <c r="I47" s="102">
        <v>579262</v>
      </c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>
        <v>4160</v>
      </c>
      <c r="G49" s="97">
        <v>1200311</v>
      </c>
      <c r="H49" s="96">
        <v>6300</v>
      </c>
      <c r="I49" s="95">
        <v>1413990</v>
      </c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128307</v>
      </c>
      <c r="G50" s="87">
        <f t="shared" si="1"/>
        <v>40228356</v>
      </c>
      <c r="H50" s="89">
        <f t="shared" si="1"/>
        <v>114703</v>
      </c>
      <c r="I50" s="87">
        <f t="shared" si="1"/>
        <v>33042584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4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30495</v>
      </c>
      <c r="E10" s="116">
        <f>'５月'!K10</f>
        <v>7830989</v>
      </c>
      <c r="F10" s="119">
        <v>3639</v>
      </c>
      <c r="G10" s="118">
        <v>494518</v>
      </c>
      <c r="H10" s="117">
        <v>4004</v>
      </c>
      <c r="I10" s="116">
        <v>971913</v>
      </c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3781</v>
      </c>
      <c r="E13" s="116">
        <f>'５月'!K13</f>
        <v>902532</v>
      </c>
      <c r="F13" s="105">
        <v>1158</v>
      </c>
      <c r="G13" s="104">
        <v>318616</v>
      </c>
      <c r="H13" s="103">
        <v>864</v>
      </c>
      <c r="I13" s="102">
        <v>205136</v>
      </c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1363</v>
      </c>
      <c r="E17" s="116">
        <f>'５月'!K17</f>
        <v>4089000</v>
      </c>
      <c r="F17" s="105">
        <v>1306</v>
      </c>
      <c r="G17" s="104">
        <v>3918000</v>
      </c>
      <c r="H17" s="103">
        <v>1634</v>
      </c>
      <c r="I17" s="102">
        <v>4902000</v>
      </c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44</v>
      </c>
      <c r="E18" s="116">
        <f>'５月'!K18</f>
        <v>6315</v>
      </c>
      <c r="F18" s="105">
        <v>72</v>
      </c>
      <c r="G18" s="104">
        <v>6840</v>
      </c>
      <c r="H18" s="103">
        <v>70</v>
      </c>
      <c r="I18" s="102">
        <v>6880</v>
      </c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5123</v>
      </c>
      <c r="E22" s="116">
        <f>'５月'!K22</f>
        <v>737040</v>
      </c>
      <c r="F22" s="105">
        <v>1921</v>
      </c>
      <c r="G22" s="104">
        <v>257280</v>
      </c>
      <c r="H22" s="103">
        <v>2381</v>
      </c>
      <c r="I22" s="102">
        <v>332580</v>
      </c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2845</v>
      </c>
      <c r="E23" s="116">
        <f>'５月'!K23</f>
        <v>1898202</v>
      </c>
      <c r="F23" s="112">
        <v>1454</v>
      </c>
      <c r="G23" s="111">
        <v>2257850</v>
      </c>
      <c r="H23" s="110">
        <v>1309</v>
      </c>
      <c r="I23" s="109">
        <v>1963956</v>
      </c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25603</v>
      </c>
      <c r="E24" s="116">
        <f>'５月'!K24</f>
        <v>3070523</v>
      </c>
      <c r="F24" s="105">
        <v>1185</v>
      </c>
      <c r="G24" s="104">
        <v>741375</v>
      </c>
      <c r="H24" s="103">
        <v>1173</v>
      </c>
      <c r="I24" s="102">
        <v>718126</v>
      </c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6055</v>
      </c>
      <c r="E25" s="116">
        <f>'５月'!K25</f>
        <v>5360911</v>
      </c>
      <c r="F25" s="105">
        <f>6719+30</f>
        <v>6749</v>
      </c>
      <c r="G25" s="104">
        <f>1590645+127511</f>
        <v>1718156</v>
      </c>
      <c r="H25" s="103">
        <f>4692+38</f>
        <v>4730</v>
      </c>
      <c r="I25" s="102">
        <f>1061392+179891</f>
        <v>1241283</v>
      </c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19516</v>
      </c>
      <c r="E26" s="116">
        <f>'５月'!K26</f>
        <v>7487286</v>
      </c>
      <c r="F26" s="105">
        <v>6695</v>
      </c>
      <c r="G26" s="104">
        <v>1887813</v>
      </c>
      <c r="H26" s="103">
        <v>6984</v>
      </c>
      <c r="I26" s="102">
        <v>1395338</v>
      </c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2087</v>
      </c>
      <c r="E27" s="116">
        <f>'５月'!K27</f>
        <v>335350</v>
      </c>
      <c r="F27" s="105">
        <v>428</v>
      </c>
      <c r="G27" s="104">
        <v>98050</v>
      </c>
      <c r="H27" s="103">
        <v>412</v>
      </c>
      <c r="I27" s="102">
        <v>96200</v>
      </c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540</v>
      </c>
      <c r="E28" s="116">
        <f>'５月'!K28</f>
        <v>59400</v>
      </c>
      <c r="F28" s="105">
        <v>980</v>
      </c>
      <c r="G28" s="104">
        <v>107800</v>
      </c>
      <c r="H28" s="103">
        <v>970</v>
      </c>
      <c r="I28" s="102">
        <v>106700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1138</v>
      </c>
      <c r="E29" s="116">
        <f>'５月'!K29</f>
        <v>357821</v>
      </c>
      <c r="F29" s="74">
        <f>22+30</f>
        <v>52</v>
      </c>
      <c r="G29" s="111">
        <f>4400+57450</f>
        <v>61850</v>
      </c>
      <c r="H29" s="110">
        <f>20+65</f>
        <v>85</v>
      </c>
      <c r="I29" s="109">
        <f>4000+65840</f>
        <v>69840</v>
      </c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1225</v>
      </c>
      <c r="E30" s="116">
        <f>'５月'!K30</f>
        <v>666285</v>
      </c>
      <c r="F30" s="112">
        <f>332+339</f>
        <v>671</v>
      </c>
      <c r="G30" s="111">
        <f>153690+81663</f>
        <v>235353</v>
      </c>
      <c r="H30" s="110">
        <f>371+379</f>
        <v>750</v>
      </c>
      <c r="I30" s="109">
        <f>182520+134200</f>
        <v>316720</v>
      </c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>
        <v>7</v>
      </c>
      <c r="G32" s="111">
        <v>8498</v>
      </c>
      <c r="H32" s="110">
        <v>7</v>
      </c>
      <c r="I32" s="109">
        <v>7698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26850</v>
      </c>
      <c r="E33" s="116">
        <f>'５月'!K33</f>
        <v>8736725</v>
      </c>
      <c r="F33" s="112">
        <v>17867</v>
      </c>
      <c r="G33" s="111">
        <v>5419645</v>
      </c>
      <c r="H33" s="72">
        <v>17702</v>
      </c>
      <c r="I33" s="109">
        <v>5350769</v>
      </c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108784</v>
      </c>
      <c r="E34" s="116">
        <f>'５月'!K34</f>
        <v>10032861</v>
      </c>
      <c r="F34" s="112">
        <f>19619+130</f>
        <v>19749</v>
      </c>
      <c r="G34" s="111">
        <f>3396217+292800</f>
        <v>3689017</v>
      </c>
      <c r="H34" s="110">
        <f>33155+141</f>
        <v>33296</v>
      </c>
      <c r="I34" s="109">
        <f>4885341+296400</f>
        <v>5181741</v>
      </c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629</v>
      </c>
      <c r="E35" s="116">
        <f>'５月'!K35</f>
        <v>78138</v>
      </c>
      <c r="F35" s="112">
        <v>786</v>
      </c>
      <c r="G35" s="111">
        <v>97783</v>
      </c>
      <c r="H35" s="110">
        <v>861</v>
      </c>
      <c r="I35" s="109">
        <v>109494</v>
      </c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58</v>
      </c>
      <c r="E36" s="116">
        <f>'５月'!K36</f>
        <v>11520</v>
      </c>
      <c r="F36" s="112">
        <v>117</v>
      </c>
      <c r="G36" s="111">
        <v>23520</v>
      </c>
      <c r="H36" s="110">
        <v>43</v>
      </c>
      <c r="I36" s="109">
        <v>9000</v>
      </c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568</v>
      </c>
      <c r="E38" s="116">
        <f>'５月'!K38</f>
        <v>114800</v>
      </c>
      <c r="F38" s="112">
        <v>95</v>
      </c>
      <c r="G38" s="111">
        <v>18641</v>
      </c>
      <c r="H38" s="110">
        <v>59</v>
      </c>
      <c r="I38" s="109">
        <v>12321</v>
      </c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1044</v>
      </c>
      <c r="E39" s="116">
        <f>'５月'!K39</f>
        <v>1148400</v>
      </c>
      <c r="F39" s="112">
        <v>280</v>
      </c>
      <c r="G39" s="111">
        <v>308000</v>
      </c>
      <c r="H39" s="110">
        <v>220</v>
      </c>
      <c r="I39" s="109">
        <v>242000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29917</v>
      </c>
      <c r="E42" s="116">
        <f>'５月'!K42</f>
        <v>3721795</v>
      </c>
      <c r="F42" s="112">
        <v>29689</v>
      </c>
      <c r="G42" s="111">
        <v>8498327</v>
      </c>
      <c r="H42" s="110">
        <v>28102</v>
      </c>
      <c r="I42" s="109">
        <v>7933737</v>
      </c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4476</v>
      </c>
      <c r="E43" s="116">
        <f>'５月'!K43</f>
        <v>1455271</v>
      </c>
      <c r="F43" s="112">
        <v>7914</v>
      </c>
      <c r="G43" s="111">
        <v>2487926</v>
      </c>
      <c r="H43" s="110">
        <v>7804</v>
      </c>
      <c r="I43" s="109">
        <v>2476262</v>
      </c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113490</v>
      </c>
      <c r="F44" s="112">
        <v>2</v>
      </c>
      <c r="G44" s="111">
        <v>1620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5584</v>
      </c>
      <c r="E45" s="116">
        <f>'５月'!K45</f>
        <v>2946451</v>
      </c>
      <c r="F45" s="112">
        <v>2270</v>
      </c>
      <c r="G45" s="111">
        <v>480482</v>
      </c>
      <c r="H45" s="110">
        <v>2167</v>
      </c>
      <c r="I45" s="109">
        <v>541508</v>
      </c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5515</v>
      </c>
      <c r="E46" s="116">
        <f>'５月'!K46</f>
        <v>867560</v>
      </c>
      <c r="F46" s="105">
        <v>3905</v>
      </c>
      <c r="G46" s="104">
        <v>699300</v>
      </c>
      <c r="H46" s="103">
        <v>2633</v>
      </c>
      <c r="I46" s="102">
        <v>467037</v>
      </c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3064</v>
      </c>
      <c r="E47" s="116">
        <f>'５月'!K47</f>
        <v>4465411</v>
      </c>
      <c r="F47" s="105">
        <v>1823</v>
      </c>
      <c r="G47" s="104">
        <v>783143</v>
      </c>
      <c r="H47" s="103">
        <f>1778+8</f>
        <v>1786</v>
      </c>
      <c r="I47" s="102">
        <f>1625407+19000</f>
        <v>1644407</v>
      </c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4371</v>
      </c>
      <c r="E49" s="116">
        <f>'５月'!K49</f>
        <v>1903536</v>
      </c>
      <c r="F49" s="98">
        <v>5026</v>
      </c>
      <c r="G49" s="97">
        <v>1410126</v>
      </c>
      <c r="H49" s="96">
        <v>4946</v>
      </c>
      <c r="I49" s="95">
        <v>1469235</v>
      </c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115840</v>
      </c>
      <c r="G50" s="87">
        <f t="shared" si="1"/>
        <v>36029529</v>
      </c>
      <c r="H50" s="89">
        <f t="shared" si="1"/>
        <v>124994</v>
      </c>
      <c r="I50" s="87">
        <f t="shared" si="1"/>
        <v>37773531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34" sqref="G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30130</v>
      </c>
      <c r="E10" s="116">
        <f>'６月'!K10</f>
        <v>7353594</v>
      </c>
      <c r="F10" s="119">
        <v>1538</v>
      </c>
      <c r="G10" s="118">
        <v>185429</v>
      </c>
      <c r="H10" s="117">
        <v>3581</v>
      </c>
      <c r="I10" s="116">
        <v>607530</v>
      </c>
      <c r="J10" s="115">
        <f aca="true" t="shared" si="0" ref="J10:K50">D10+F10-H10</f>
        <v>28087</v>
      </c>
      <c r="K10" s="114">
        <f t="shared" si="0"/>
        <v>6931493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>
        <v>600</v>
      </c>
      <c r="G11" s="104">
        <v>90000</v>
      </c>
      <c r="H11" s="103">
        <v>180</v>
      </c>
      <c r="I11" s="102">
        <v>27000</v>
      </c>
      <c r="J11" s="101">
        <f t="shared" si="0"/>
        <v>1028</v>
      </c>
      <c r="K11" s="100">
        <f t="shared" si="0"/>
        <v>107530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4075</v>
      </c>
      <c r="E13" s="116">
        <f>'６月'!K13</f>
        <v>1016012</v>
      </c>
      <c r="F13" s="105">
        <v>643</v>
      </c>
      <c r="G13" s="104">
        <v>162650</v>
      </c>
      <c r="H13" s="103">
        <v>557</v>
      </c>
      <c r="I13" s="102">
        <v>132364</v>
      </c>
      <c r="J13" s="101">
        <f t="shared" si="0"/>
        <v>4161</v>
      </c>
      <c r="K13" s="100">
        <f t="shared" si="0"/>
        <v>1046298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1035</v>
      </c>
      <c r="E17" s="116">
        <f>'６月'!K17</f>
        <v>3105000</v>
      </c>
      <c r="F17" s="105">
        <v>1535</v>
      </c>
      <c r="G17" s="104">
        <v>4554451</v>
      </c>
      <c r="H17" s="103">
        <v>1062</v>
      </c>
      <c r="I17" s="102">
        <v>3186000</v>
      </c>
      <c r="J17" s="101">
        <f t="shared" si="0"/>
        <v>1508</v>
      </c>
      <c r="K17" s="100">
        <f t="shared" si="0"/>
        <v>4473451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46</v>
      </c>
      <c r="E18" s="116">
        <f>'６月'!K18</f>
        <v>6275</v>
      </c>
      <c r="F18" s="105">
        <v>72</v>
      </c>
      <c r="G18" s="104">
        <v>6840</v>
      </c>
      <c r="H18" s="103">
        <v>63</v>
      </c>
      <c r="I18" s="102">
        <v>6605</v>
      </c>
      <c r="J18" s="101">
        <f t="shared" si="0"/>
        <v>55</v>
      </c>
      <c r="K18" s="100">
        <f t="shared" si="0"/>
        <v>6510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4663</v>
      </c>
      <c r="E22" s="116">
        <f>'６月'!K22</f>
        <v>661740</v>
      </c>
      <c r="F22" s="105">
        <v>2876</v>
      </c>
      <c r="G22" s="104">
        <v>353800</v>
      </c>
      <c r="H22" s="103">
        <v>2201</v>
      </c>
      <c r="I22" s="102">
        <v>287200</v>
      </c>
      <c r="J22" s="101">
        <f t="shared" si="0"/>
        <v>5338</v>
      </c>
      <c r="K22" s="100">
        <f t="shared" si="0"/>
        <v>728340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2990</v>
      </c>
      <c r="E23" s="116">
        <f>'６月'!K23</f>
        <v>2192096</v>
      </c>
      <c r="F23" s="112">
        <v>1070</v>
      </c>
      <c r="G23" s="111">
        <v>1674900</v>
      </c>
      <c r="H23" s="110">
        <v>1261</v>
      </c>
      <c r="I23" s="109">
        <v>2000492</v>
      </c>
      <c r="J23" s="108">
        <f t="shared" si="0"/>
        <v>2799</v>
      </c>
      <c r="K23" s="107">
        <f t="shared" si="0"/>
        <v>1866504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25615</v>
      </c>
      <c r="E24" s="116">
        <f>'６月'!K24</f>
        <v>3093772</v>
      </c>
      <c r="F24" s="105">
        <v>1125</v>
      </c>
      <c r="G24" s="104">
        <v>480388</v>
      </c>
      <c r="H24" s="103">
        <v>1165</v>
      </c>
      <c r="I24" s="102">
        <v>549590</v>
      </c>
      <c r="J24" s="101">
        <f t="shared" si="0"/>
        <v>25575</v>
      </c>
      <c r="K24" s="100">
        <f t="shared" si="0"/>
        <v>3024570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8074</v>
      </c>
      <c r="E25" s="116">
        <f>'６月'!K25</f>
        <v>5837784</v>
      </c>
      <c r="F25" s="105">
        <f>6257+13</f>
        <v>6270</v>
      </c>
      <c r="G25" s="104">
        <f>1501121+37308</f>
        <v>1538429</v>
      </c>
      <c r="H25" s="103">
        <f>5552+22</f>
        <v>5574</v>
      </c>
      <c r="I25" s="102">
        <f>1314363+100840</f>
        <v>1415203</v>
      </c>
      <c r="J25" s="101">
        <f t="shared" si="0"/>
        <v>8770</v>
      </c>
      <c r="K25" s="100">
        <f t="shared" si="0"/>
        <v>5961010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19227</v>
      </c>
      <c r="E26" s="116">
        <f>'６月'!K26</f>
        <v>7979761</v>
      </c>
      <c r="F26" s="105">
        <v>7449</v>
      </c>
      <c r="G26" s="104">
        <v>1375209</v>
      </c>
      <c r="H26" s="103">
        <v>6885</v>
      </c>
      <c r="I26" s="102">
        <v>1261264</v>
      </c>
      <c r="J26" s="101">
        <f t="shared" si="0"/>
        <v>19791</v>
      </c>
      <c r="K26" s="100">
        <f t="shared" si="0"/>
        <v>8093706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2103</v>
      </c>
      <c r="E27" s="116">
        <f>'６月'!K27</f>
        <v>337200</v>
      </c>
      <c r="F27" s="105">
        <v>343</v>
      </c>
      <c r="G27" s="104">
        <v>93150</v>
      </c>
      <c r="H27" s="103">
        <v>320</v>
      </c>
      <c r="I27" s="102">
        <v>85800</v>
      </c>
      <c r="J27" s="101">
        <f t="shared" si="0"/>
        <v>2126</v>
      </c>
      <c r="K27" s="100">
        <f t="shared" si="0"/>
        <v>344550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550</v>
      </c>
      <c r="E28" s="116">
        <f>'６月'!K28</f>
        <v>60500</v>
      </c>
      <c r="F28" s="105">
        <v>920</v>
      </c>
      <c r="G28" s="104">
        <v>101200</v>
      </c>
      <c r="H28" s="103">
        <v>770</v>
      </c>
      <c r="I28" s="102">
        <v>84700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1105</v>
      </c>
      <c r="E29" s="116">
        <f>'６月'!K29</f>
        <v>349831</v>
      </c>
      <c r="F29" s="74">
        <f>22+30</f>
        <v>52</v>
      </c>
      <c r="G29" s="111">
        <f>4400+57450</f>
        <v>61850</v>
      </c>
      <c r="H29" s="110">
        <f>24+58</f>
        <v>82</v>
      </c>
      <c r="I29" s="109">
        <f>4800+63145</f>
        <v>67945</v>
      </c>
      <c r="J29" s="108">
        <f t="shared" si="0"/>
        <v>1075</v>
      </c>
      <c r="K29" s="107">
        <f t="shared" si="0"/>
        <v>343736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1146</v>
      </c>
      <c r="E30" s="116">
        <f>'６月'!K30</f>
        <v>584918</v>
      </c>
      <c r="F30" s="112">
        <f>481+291</f>
        <v>772</v>
      </c>
      <c r="G30" s="111">
        <f>221370+77636</f>
        <v>299006</v>
      </c>
      <c r="H30" s="110">
        <f>433+202</f>
        <v>635</v>
      </c>
      <c r="I30" s="109">
        <f>245010+32747</f>
        <v>277757</v>
      </c>
      <c r="J30" s="108">
        <f t="shared" si="0"/>
        <v>1283</v>
      </c>
      <c r="K30" s="107">
        <f t="shared" si="0"/>
        <v>606167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16000</v>
      </c>
      <c r="F32" s="112">
        <v>6</v>
      </c>
      <c r="G32" s="111">
        <v>11417</v>
      </c>
      <c r="H32" s="110">
        <v>6</v>
      </c>
      <c r="I32" s="109">
        <v>5017</v>
      </c>
      <c r="J32" s="108">
        <f t="shared" si="0"/>
        <v>20</v>
      </c>
      <c r="K32" s="107">
        <f t="shared" si="0"/>
        <v>22400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27015</v>
      </c>
      <c r="E33" s="116">
        <f>'６月'!K33</f>
        <v>8805601</v>
      </c>
      <c r="F33" s="112">
        <v>17585</v>
      </c>
      <c r="G33" s="111">
        <v>5386360</v>
      </c>
      <c r="H33" s="72">
        <v>18636</v>
      </c>
      <c r="I33" s="109">
        <v>5836518</v>
      </c>
      <c r="J33" s="108">
        <f t="shared" si="0"/>
        <v>25964</v>
      </c>
      <c r="K33" s="107">
        <f t="shared" si="0"/>
        <v>8355443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95237</v>
      </c>
      <c r="E34" s="116">
        <f>'６月'!K34</f>
        <v>8540137</v>
      </c>
      <c r="F34" s="112">
        <f>25145+143</f>
        <v>25288</v>
      </c>
      <c r="G34" s="111">
        <f>4910855+302900</f>
        <v>5213755</v>
      </c>
      <c r="H34" s="110">
        <f>25513+162</f>
        <v>25675</v>
      </c>
      <c r="I34" s="109">
        <f>4905856+301600</f>
        <v>5207456</v>
      </c>
      <c r="J34" s="108">
        <f t="shared" si="0"/>
        <v>94850</v>
      </c>
      <c r="K34" s="107">
        <f t="shared" si="0"/>
        <v>8546436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554</v>
      </c>
      <c r="E35" s="116">
        <f>'６月'!K35</f>
        <v>66427</v>
      </c>
      <c r="F35" s="112">
        <v>1022</v>
      </c>
      <c r="G35" s="111">
        <v>129626</v>
      </c>
      <c r="H35" s="110">
        <v>846</v>
      </c>
      <c r="I35" s="109">
        <v>104503</v>
      </c>
      <c r="J35" s="108">
        <f t="shared" si="0"/>
        <v>730</v>
      </c>
      <c r="K35" s="107">
        <f t="shared" si="0"/>
        <v>91550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132</v>
      </c>
      <c r="E36" s="116">
        <f>'６月'!K36</f>
        <v>26040</v>
      </c>
      <c r="F36" s="112">
        <v>110</v>
      </c>
      <c r="G36" s="111">
        <v>22040</v>
      </c>
      <c r="H36" s="110">
        <v>111</v>
      </c>
      <c r="I36" s="109">
        <v>22480</v>
      </c>
      <c r="J36" s="108">
        <f t="shared" si="0"/>
        <v>131</v>
      </c>
      <c r="K36" s="107">
        <f t="shared" si="0"/>
        <v>25600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604</v>
      </c>
      <c r="E38" s="116">
        <f>'６月'!K38</f>
        <v>121120</v>
      </c>
      <c r="F38" s="112">
        <v>76</v>
      </c>
      <c r="G38" s="111">
        <v>14401</v>
      </c>
      <c r="H38" s="110">
        <v>150</v>
      </c>
      <c r="I38" s="109">
        <v>30481</v>
      </c>
      <c r="J38" s="108">
        <f t="shared" si="0"/>
        <v>530</v>
      </c>
      <c r="K38" s="107">
        <f t="shared" si="0"/>
        <v>105040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1104</v>
      </c>
      <c r="E39" s="116">
        <f>'６月'!K39</f>
        <v>1214400</v>
      </c>
      <c r="F39" s="112">
        <v>260</v>
      </c>
      <c r="G39" s="111">
        <v>286000</v>
      </c>
      <c r="H39" s="110">
        <v>200</v>
      </c>
      <c r="I39" s="109">
        <v>220000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31504</v>
      </c>
      <c r="E42" s="116">
        <f>'６月'!K42</f>
        <v>4286385</v>
      </c>
      <c r="F42" s="112">
        <v>31512</v>
      </c>
      <c r="G42" s="111">
        <v>8807858</v>
      </c>
      <c r="H42" s="110">
        <v>32415</v>
      </c>
      <c r="I42" s="109">
        <v>9104396</v>
      </c>
      <c r="J42" s="108">
        <f t="shared" si="0"/>
        <v>30601</v>
      </c>
      <c r="K42" s="107">
        <f t="shared" si="0"/>
        <v>3989847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4586</v>
      </c>
      <c r="E43" s="116">
        <f>'６月'!K43</f>
        <v>1466935</v>
      </c>
      <c r="F43" s="112">
        <v>7783</v>
      </c>
      <c r="G43" s="111">
        <v>2445537</v>
      </c>
      <c r="H43" s="110">
        <v>7489</v>
      </c>
      <c r="I43" s="109">
        <v>2367284</v>
      </c>
      <c r="J43" s="108">
        <f t="shared" si="0"/>
        <v>4880</v>
      </c>
      <c r="K43" s="107">
        <f t="shared" si="0"/>
        <v>1545188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113460</v>
      </c>
      <c r="F44" s="112">
        <v>2</v>
      </c>
      <c r="G44" s="111">
        <v>1591</v>
      </c>
      <c r="H44" s="110">
        <v>2</v>
      </c>
      <c r="I44" s="109">
        <v>1501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5687</v>
      </c>
      <c r="E45" s="116">
        <f>'６月'!K45</f>
        <v>2885425</v>
      </c>
      <c r="F45" s="112">
        <v>2956</v>
      </c>
      <c r="G45" s="111">
        <v>509055</v>
      </c>
      <c r="H45" s="110">
        <v>2281</v>
      </c>
      <c r="I45" s="109">
        <v>556889</v>
      </c>
      <c r="J45" s="108">
        <f t="shared" si="0"/>
        <v>6362</v>
      </c>
      <c r="K45" s="107">
        <f t="shared" si="0"/>
        <v>2837591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6787</v>
      </c>
      <c r="E46" s="116">
        <f>'６月'!K46</f>
        <v>1099823</v>
      </c>
      <c r="F46" s="105">
        <v>3349</v>
      </c>
      <c r="G46" s="104">
        <v>584183</v>
      </c>
      <c r="H46" s="103">
        <v>2550</v>
      </c>
      <c r="I46" s="102">
        <v>452327</v>
      </c>
      <c r="J46" s="101">
        <f t="shared" si="0"/>
        <v>7586</v>
      </c>
      <c r="K46" s="100">
        <f t="shared" si="0"/>
        <v>1231679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3101</v>
      </c>
      <c r="E47" s="116">
        <f>'６月'!K47</f>
        <v>3604147</v>
      </c>
      <c r="F47" s="105">
        <f>2059+7</f>
        <v>2066</v>
      </c>
      <c r="G47" s="104">
        <f>5969340+20000</f>
        <v>5989340</v>
      </c>
      <c r="H47" s="103">
        <f>1975+29</f>
        <v>2004</v>
      </c>
      <c r="I47" s="102">
        <f>5629300+75000</f>
        <v>5704300</v>
      </c>
      <c r="J47" s="101">
        <f t="shared" si="0"/>
        <v>3163</v>
      </c>
      <c r="K47" s="100">
        <f t="shared" si="0"/>
        <v>3889187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4451</v>
      </c>
      <c r="E49" s="116">
        <f>'６月'!K49</f>
        <v>1844427</v>
      </c>
      <c r="F49" s="98">
        <v>4235</v>
      </c>
      <c r="G49" s="97">
        <v>1141302</v>
      </c>
      <c r="H49" s="96">
        <v>4498</v>
      </c>
      <c r="I49" s="95">
        <v>1303179</v>
      </c>
      <c r="J49" s="94">
        <f t="shared" si="0"/>
        <v>4188</v>
      </c>
      <c r="K49" s="93">
        <f t="shared" si="0"/>
        <v>1682550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121515</v>
      </c>
      <c r="G50" s="87">
        <f t="shared" si="1"/>
        <v>41519767</v>
      </c>
      <c r="H50" s="89">
        <f t="shared" si="1"/>
        <v>121199</v>
      </c>
      <c r="I50" s="87">
        <f t="shared" si="1"/>
        <v>40905781</v>
      </c>
      <c r="J50" s="88">
        <f t="shared" si="0"/>
        <v>282542</v>
      </c>
      <c r="K50" s="87">
        <f t="shared" si="0"/>
        <v>67327326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28087</v>
      </c>
      <c r="E10" s="116">
        <f>'７月'!K10</f>
        <v>6931493</v>
      </c>
      <c r="F10" s="119">
        <v>1907</v>
      </c>
      <c r="G10" s="118">
        <v>267574</v>
      </c>
      <c r="H10" s="117">
        <v>2780</v>
      </c>
      <c r="I10" s="116">
        <v>442631</v>
      </c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1028</v>
      </c>
      <c r="E11" s="116">
        <f>'７月'!K11</f>
        <v>107530</v>
      </c>
      <c r="F11" s="105">
        <v>175</v>
      </c>
      <c r="G11" s="104">
        <v>26250</v>
      </c>
      <c r="H11" s="103">
        <v>39</v>
      </c>
      <c r="I11" s="102">
        <v>2950</v>
      </c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149</v>
      </c>
      <c r="G12" s="104">
        <v>19790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4161</v>
      </c>
      <c r="E13" s="116">
        <f>'７月'!K13</f>
        <v>1046298</v>
      </c>
      <c r="F13" s="105">
        <v>641</v>
      </c>
      <c r="G13" s="104">
        <v>174000</v>
      </c>
      <c r="H13" s="103">
        <v>648</v>
      </c>
      <c r="I13" s="102">
        <v>156621</v>
      </c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1508</v>
      </c>
      <c r="E17" s="116">
        <f>'７月'!K17</f>
        <v>4473451</v>
      </c>
      <c r="F17" s="105">
        <v>738</v>
      </c>
      <c r="G17" s="104">
        <v>2351523</v>
      </c>
      <c r="H17" s="103">
        <v>1047</v>
      </c>
      <c r="I17" s="102">
        <v>3223162</v>
      </c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55</v>
      </c>
      <c r="E18" s="116">
        <f>'７月'!K18</f>
        <v>6510</v>
      </c>
      <c r="F18" s="105">
        <v>48</v>
      </c>
      <c r="G18" s="104">
        <v>4560</v>
      </c>
      <c r="H18" s="103">
        <v>65</v>
      </c>
      <c r="I18" s="102">
        <v>6820</v>
      </c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5338</v>
      </c>
      <c r="E22" s="116">
        <f>'７月'!K22</f>
        <v>728340</v>
      </c>
      <c r="F22" s="105">
        <v>1635</v>
      </c>
      <c r="G22" s="104">
        <v>212987</v>
      </c>
      <c r="H22" s="103">
        <v>1559</v>
      </c>
      <c r="I22" s="102">
        <v>225300</v>
      </c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2799</v>
      </c>
      <c r="E23" s="116">
        <f>'７月'!K23</f>
        <v>1866504</v>
      </c>
      <c r="F23" s="112">
        <v>1238</v>
      </c>
      <c r="G23" s="111">
        <v>1567700</v>
      </c>
      <c r="H23" s="110">
        <v>1098</v>
      </c>
      <c r="I23" s="109">
        <v>1543643</v>
      </c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25575</v>
      </c>
      <c r="E24" s="116">
        <f>'７月'!K24</f>
        <v>3024570</v>
      </c>
      <c r="F24" s="105">
        <v>1185</v>
      </c>
      <c r="G24" s="104">
        <v>750340</v>
      </c>
      <c r="H24" s="103">
        <v>1206</v>
      </c>
      <c r="I24" s="102">
        <v>656523</v>
      </c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8770</v>
      </c>
      <c r="E25" s="116">
        <f>'７月'!K25</f>
        <v>5961010</v>
      </c>
      <c r="F25" s="105">
        <f>4912+73</f>
        <v>4985</v>
      </c>
      <c r="G25" s="104">
        <f>1217994+329462</f>
        <v>1547456</v>
      </c>
      <c r="H25" s="103">
        <f>5992+65</f>
        <v>6057</v>
      </c>
      <c r="I25" s="102">
        <f>1461806+309989</f>
        <v>1771795</v>
      </c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19791</v>
      </c>
      <c r="E26" s="116">
        <f>'７月'!K26</f>
        <v>8093706</v>
      </c>
      <c r="F26" s="105">
        <v>7294</v>
      </c>
      <c r="G26" s="104">
        <v>1108656</v>
      </c>
      <c r="H26" s="103">
        <v>7959</v>
      </c>
      <c r="I26" s="102">
        <v>1414016</v>
      </c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2126</v>
      </c>
      <c r="E27" s="116">
        <f>'７月'!K27</f>
        <v>344550</v>
      </c>
      <c r="F27" s="105">
        <v>314</v>
      </c>
      <c r="G27" s="104">
        <v>73000</v>
      </c>
      <c r="H27" s="103">
        <v>295</v>
      </c>
      <c r="I27" s="102">
        <v>77550</v>
      </c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700</v>
      </c>
      <c r="E28" s="116">
        <f>'７月'!K28</f>
        <v>77000</v>
      </c>
      <c r="F28" s="105">
        <v>1080</v>
      </c>
      <c r="G28" s="104">
        <v>118800</v>
      </c>
      <c r="H28" s="103">
        <v>1040</v>
      </c>
      <c r="I28" s="102">
        <v>114400</v>
      </c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1075</v>
      </c>
      <c r="E29" s="116">
        <f>'７月'!K29</f>
        <v>343736</v>
      </c>
      <c r="F29" s="74">
        <f>20+36</f>
        <v>56</v>
      </c>
      <c r="G29" s="111">
        <f>4000+68940</f>
        <v>72940</v>
      </c>
      <c r="H29" s="110">
        <f>15+31</f>
        <v>46</v>
      </c>
      <c r="I29" s="109">
        <f>3000+59365</f>
        <v>62365</v>
      </c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1283</v>
      </c>
      <c r="E30" s="116">
        <f>'７月'!K30</f>
        <v>606167</v>
      </c>
      <c r="F30" s="112">
        <f>329+278</f>
        <v>607</v>
      </c>
      <c r="G30" s="111">
        <f>143730+74251</f>
        <v>217981</v>
      </c>
      <c r="H30" s="110">
        <f>356+221</f>
        <v>577</v>
      </c>
      <c r="I30" s="109">
        <f>187620+81330</f>
        <v>268950</v>
      </c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22400</v>
      </c>
      <c r="F32" s="112">
        <v>1</v>
      </c>
      <c r="G32" s="111">
        <v>10400</v>
      </c>
      <c r="H32" s="110">
        <v>1</v>
      </c>
      <c r="I32" s="109">
        <v>9600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25964</v>
      </c>
      <c r="E33" s="116">
        <f>'７月'!K33</f>
        <v>8355443</v>
      </c>
      <c r="F33" s="112">
        <v>16392</v>
      </c>
      <c r="G33" s="111">
        <v>4860288</v>
      </c>
      <c r="H33" s="72">
        <v>17080</v>
      </c>
      <c r="I33" s="109">
        <v>5235896</v>
      </c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94850</v>
      </c>
      <c r="E34" s="116">
        <f>'７月'!K34</f>
        <v>8546436</v>
      </c>
      <c r="F34" s="112">
        <f>22385+152</f>
        <v>22537</v>
      </c>
      <c r="G34" s="111">
        <f>4199460+304700</f>
        <v>4504160</v>
      </c>
      <c r="H34" s="110">
        <f>33969+393</f>
        <v>34362</v>
      </c>
      <c r="I34" s="109">
        <f>5240038+329402</f>
        <v>5569440</v>
      </c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730</v>
      </c>
      <c r="E35" s="116">
        <f>'７月'!K35</f>
        <v>91550</v>
      </c>
      <c r="F35" s="112">
        <v>980</v>
      </c>
      <c r="G35" s="111">
        <v>125883</v>
      </c>
      <c r="H35" s="110">
        <v>1231</v>
      </c>
      <c r="I35" s="109">
        <v>157890</v>
      </c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131</v>
      </c>
      <c r="E36" s="116">
        <f>'７月'!K36</f>
        <v>25600</v>
      </c>
      <c r="F36" s="112">
        <v>84</v>
      </c>
      <c r="G36" s="111">
        <v>18200</v>
      </c>
      <c r="H36" s="110">
        <v>76</v>
      </c>
      <c r="I36" s="109">
        <v>14320</v>
      </c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530</v>
      </c>
      <c r="E38" s="116">
        <f>'７月'!K38</f>
        <v>105040</v>
      </c>
      <c r="F38" s="112">
        <v>258</v>
      </c>
      <c r="G38" s="111">
        <v>47761</v>
      </c>
      <c r="H38" s="110">
        <v>62</v>
      </c>
      <c r="I38" s="109">
        <v>11961</v>
      </c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1164</v>
      </c>
      <c r="E39" s="116">
        <f>'７月'!K39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30601</v>
      </c>
      <c r="E42" s="116">
        <f>'７月'!K42</f>
        <v>3989847</v>
      </c>
      <c r="F42" s="112">
        <v>29761</v>
      </c>
      <c r="G42" s="111">
        <v>8813795</v>
      </c>
      <c r="H42" s="110">
        <v>27979</v>
      </c>
      <c r="I42" s="109">
        <v>8022150</v>
      </c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4880</v>
      </c>
      <c r="E43" s="116">
        <f>'７月'!K43</f>
        <v>1545188</v>
      </c>
      <c r="F43" s="112">
        <v>6600</v>
      </c>
      <c r="G43" s="111">
        <v>2161730</v>
      </c>
      <c r="H43" s="110">
        <v>6682</v>
      </c>
      <c r="I43" s="109">
        <v>2223869</v>
      </c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113550</v>
      </c>
      <c r="F44" s="112">
        <v>2</v>
      </c>
      <c r="G44" s="111">
        <v>1650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6362</v>
      </c>
      <c r="E45" s="116">
        <f>'７月'!K45</f>
        <v>2837591</v>
      </c>
      <c r="F45" s="112">
        <v>2581</v>
      </c>
      <c r="G45" s="111">
        <v>749563</v>
      </c>
      <c r="H45" s="110">
        <v>2706</v>
      </c>
      <c r="I45" s="109">
        <v>421231</v>
      </c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7586</v>
      </c>
      <c r="E46" s="116">
        <f>'７月'!K46</f>
        <v>1231679</v>
      </c>
      <c r="F46" s="105">
        <v>3196</v>
      </c>
      <c r="G46" s="104">
        <v>539324</v>
      </c>
      <c r="H46" s="103">
        <v>3235</v>
      </c>
      <c r="I46" s="102">
        <v>517063</v>
      </c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3163</v>
      </c>
      <c r="E47" s="116">
        <f>'７月'!K47</f>
        <v>3889187</v>
      </c>
      <c r="F47" s="105">
        <f>3901+14</f>
        <v>3915</v>
      </c>
      <c r="G47" s="104">
        <f>4900233+43000</f>
        <v>4943233</v>
      </c>
      <c r="H47" s="103">
        <f>1901+16</f>
        <v>1917</v>
      </c>
      <c r="I47" s="102">
        <f>5144883+39000</f>
        <v>5183883</v>
      </c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4188</v>
      </c>
      <c r="E49" s="97">
        <f>'７月'!K49</f>
        <v>1682550</v>
      </c>
      <c r="F49" s="98">
        <v>4644</v>
      </c>
      <c r="G49" s="97">
        <v>1134434</v>
      </c>
      <c r="H49" s="96">
        <v>4678</v>
      </c>
      <c r="I49" s="95">
        <v>1020526</v>
      </c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282542</v>
      </c>
      <c r="E50" s="90">
        <f t="shared" si="1"/>
        <v>67327326</v>
      </c>
      <c r="F50" s="89">
        <f t="shared" si="1"/>
        <v>113303</v>
      </c>
      <c r="G50" s="87">
        <f t="shared" si="1"/>
        <v>36753978</v>
      </c>
      <c r="H50" s="89">
        <f t="shared" si="1"/>
        <v>124727</v>
      </c>
      <c r="I50" s="87">
        <f t="shared" si="1"/>
        <v>38686205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27214</v>
      </c>
      <c r="E10" s="116">
        <f>'８月'!K10</f>
        <v>6756436</v>
      </c>
      <c r="F10" s="119">
        <v>5112</v>
      </c>
      <c r="G10" s="118">
        <v>1029708</v>
      </c>
      <c r="H10" s="117">
        <v>3793</v>
      </c>
      <c r="I10" s="116">
        <v>641342</v>
      </c>
      <c r="J10" s="115">
        <f aca="true" t="shared" si="0" ref="J10:K50">D10+F10-H10</f>
        <v>28533</v>
      </c>
      <c r="K10" s="114">
        <f t="shared" si="0"/>
        <v>7144802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1164</v>
      </c>
      <c r="E11" s="116">
        <f>'８月'!K11</f>
        <v>130830</v>
      </c>
      <c r="F11" s="105">
        <v>0</v>
      </c>
      <c r="G11" s="104">
        <v>0</v>
      </c>
      <c r="H11" s="103">
        <v>150</v>
      </c>
      <c r="I11" s="102">
        <v>47250</v>
      </c>
      <c r="J11" s="101">
        <f t="shared" si="0"/>
        <v>1014</v>
      </c>
      <c r="K11" s="100">
        <f t="shared" si="0"/>
        <v>83580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149</v>
      </c>
      <c r="E12" s="116">
        <f>'８月'!K12</f>
        <v>19790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4154</v>
      </c>
      <c r="E13" s="116">
        <f>'８月'!K13</f>
        <v>1063677</v>
      </c>
      <c r="F13" s="105">
        <v>248</v>
      </c>
      <c r="G13" s="104">
        <v>51277</v>
      </c>
      <c r="H13" s="103">
        <v>798</v>
      </c>
      <c r="I13" s="102">
        <v>200865</v>
      </c>
      <c r="J13" s="101">
        <f t="shared" si="0"/>
        <v>3604</v>
      </c>
      <c r="K13" s="100">
        <f t="shared" si="0"/>
        <v>914089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1199</v>
      </c>
      <c r="E17" s="116">
        <f>'８月'!K17</f>
        <v>3601812</v>
      </c>
      <c r="F17" s="105">
        <v>941</v>
      </c>
      <c r="G17" s="104">
        <v>2959861</v>
      </c>
      <c r="H17" s="103">
        <v>920</v>
      </c>
      <c r="I17" s="102">
        <v>2814049</v>
      </c>
      <c r="J17" s="101">
        <f t="shared" si="0"/>
        <v>1220</v>
      </c>
      <c r="K17" s="100">
        <f t="shared" si="0"/>
        <v>3747624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38</v>
      </c>
      <c r="E18" s="116">
        <f>'８月'!K18</f>
        <v>4250</v>
      </c>
      <c r="F18" s="105">
        <v>60</v>
      </c>
      <c r="G18" s="104">
        <v>5700</v>
      </c>
      <c r="H18" s="103">
        <v>55</v>
      </c>
      <c r="I18" s="102">
        <v>5520</v>
      </c>
      <c r="J18" s="101">
        <f t="shared" si="0"/>
        <v>43</v>
      </c>
      <c r="K18" s="100">
        <f t="shared" si="0"/>
        <v>4430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5414</v>
      </c>
      <c r="E22" s="116">
        <f>'８月'!K22</f>
        <v>716027</v>
      </c>
      <c r="F22" s="105">
        <v>4319</v>
      </c>
      <c r="G22" s="104">
        <v>500580</v>
      </c>
      <c r="H22" s="103">
        <v>1723</v>
      </c>
      <c r="I22" s="102">
        <v>240920</v>
      </c>
      <c r="J22" s="101">
        <f t="shared" si="0"/>
        <v>8010</v>
      </c>
      <c r="K22" s="100">
        <f t="shared" si="0"/>
        <v>975687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2939</v>
      </c>
      <c r="E23" s="116">
        <f>'８月'!K23</f>
        <v>1890561</v>
      </c>
      <c r="F23" s="112">
        <v>1360</v>
      </c>
      <c r="G23" s="111">
        <v>2409050</v>
      </c>
      <c r="H23" s="110">
        <v>1180</v>
      </c>
      <c r="I23" s="109">
        <v>1852574</v>
      </c>
      <c r="J23" s="108">
        <f t="shared" si="0"/>
        <v>3119</v>
      </c>
      <c r="K23" s="107">
        <f t="shared" si="0"/>
        <v>2447037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25554</v>
      </c>
      <c r="E24" s="116">
        <f>'８月'!K24</f>
        <v>3118387</v>
      </c>
      <c r="F24" s="105">
        <v>1257</v>
      </c>
      <c r="G24" s="104">
        <v>1538983</v>
      </c>
      <c r="H24" s="103">
        <v>1243</v>
      </c>
      <c r="I24" s="102">
        <v>1542857</v>
      </c>
      <c r="J24" s="101">
        <f t="shared" si="0"/>
        <v>25568</v>
      </c>
      <c r="K24" s="100">
        <f t="shared" si="0"/>
        <v>3114513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7698</v>
      </c>
      <c r="E25" s="116">
        <f>'８月'!K25</f>
        <v>5736671</v>
      </c>
      <c r="F25" s="105">
        <f>4861+29</f>
        <v>4890</v>
      </c>
      <c r="G25" s="104">
        <f>1094039+140051</f>
        <v>1234090</v>
      </c>
      <c r="H25" s="103">
        <f>5050+31</f>
        <v>5081</v>
      </c>
      <c r="I25" s="102">
        <f>1979705+134682</f>
        <v>2114387</v>
      </c>
      <c r="J25" s="101">
        <f t="shared" si="0"/>
        <v>7507</v>
      </c>
      <c r="K25" s="100">
        <f t="shared" si="0"/>
        <v>4856374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19126</v>
      </c>
      <c r="E26" s="116">
        <f>'８月'!K26</f>
        <v>7788346</v>
      </c>
      <c r="F26" s="105">
        <v>7547</v>
      </c>
      <c r="G26" s="104">
        <v>1616954</v>
      </c>
      <c r="H26" s="103">
        <v>7734</v>
      </c>
      <c r="I26" s="102">
        <v>1528683</v>
      </c>
      <c r="J26" s="101">
        <f t="shared" si="0"/>
        <v>18939</v>
      </c>
      <c r="K26" s="100">
        <f t="shared" si="0"/>
        <v>7876617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2145</v>
      </c>
      <c r="E27" s="116">
        <f>'８月'!K27</f>
        <v>340000</v>
      </c>
      <c r="F27" s="105">
        <v>451</v>
      </c>
      <c r="G27" s="104">
        <v>112300</v>
      </c>
      <c r="H27" s="103">
        <v>416</v>
      </c>
      <c r="I27" s="102">
        <v>98600</v>
      </c>
      <c r="J27" s="101">
        <f t="shared" si="0"/>
        <v>2180</v>
      </c>
      <c r="K27" s="100">
        <f t="shared" si="0"/>
        <v>353700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740</v>
      </c>
      <c r="E28" s="116">
        <f>'８月'!K28</f>
        <v>81400</v>
      </c>
      <c r="F28" s="105">
        <v>900</v>
      </c>
      <c r="G28" s="104">
        <v>99000</v>
      </c>
      <c r="H28" s="103">
        <v>1040</v>
      </c>
      <c r="I28" s="102">
        <v>114400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1085</v>
      </c>
      <c r="E29" s="116">
        <f>'８月'!K29</f>
        <v>354311</v>
      </c>
      <c r="F29" s="74">
        <f>21+36</f>
        <v>57</v>
      </c>
      <c r="G29" s="111">
        <f>4200+68940</f>
        <v>73140</v>
      </c>
      <c r="H29" s="110">
        <f>16+38</f>
        <v>54</v>
      </c>
      <c r="I29" s="109">
        <f>3200+72770</f>
        <v>75970</v>
      </c>
      <c r="J29" s="108">
        <f t="shared" si="0"/>
        <v>1088</v>
      </c>
      <c r="K29" s="107">
        <f t="shared" si="0"/>
        <v>351481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1313</v>
      </c>
      <c r="E30" s="116">
        <f>'８月'!K30</f>
        <v>555198</v>
      </c>
      <c r="F30" s="112">
        <f>316+260</f>
        <v>576</v>
      </c>
      <c r="G30" s="111">
        <f>140220+82383</f>
        <v>222603</v>
      </c>
      <c r="H30" s="110">
        <f>349+262</f>
        <v>611</v>
      </c>
      <c r="I30" s="109">
        <f>167430+91635</f>
        <v>259065</v>
      </c>
      <c r="J30" s="108">
        <f t="shared" si="0"/>
        <v>1278</v>
      </c>
      <c r="K30" s="107">
        <f t="shared" si="0"/>
        <v>518736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23200</v>
      </c>
      <c r="F32" s="112">
        <v>9</v>
      </c>
      <c r="G32" s="111">
        <v>14055</v>
      </c>
      <c r="H32" s="110">
        <v>0</v>
      </c>
      <c r="I32" s="109">
        <v>7200</v>
      </c>
      <c r="J32" s="108">
        <f t="shared" si="0"/>
        <v>29</v>
      </c>
      <c r="K32" s="107">
        <f t="shared" si="0"/>
        <v>30055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25276</v>
      </c>
      <c r="E33" s="116">
        <f>'８月'!K33</f>
        <v>7979835</v>
      </c>
      <c r="F33" s="112">
        <v>17962</v>
      </c>
      <c r="G33" s="111">
        <v>5365190</v>
      </c>
      <c r="H33" s="72">
        <v>17596</v>
      </c>
      <c r="I33" s="109">
        <v>5344283</v>
      </c>
      <c r="J33" s="108">
        <f t="shared" si="0"/>
        <v>25642</v>
      </c>
      <c r="K33" s="107">
        <f t="shared" si="0"/>
        <v>8000742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83025</v>
      </c>
      <c r="E34" s="116">
        <f>'８月'!K34</f>
        <v>7481156</v>
      </c>
      <c r="F34" s="112">
        <f>26619+135</f>
        <v>26754</v>
      </c>
      <c r="G34" s="111">
        <f>5125241+345900</f>
        <v>5471141</v>
      </c>
      <c r="H34" s="110">
        <f>27804+136</f>
        <v>27940</v>
      </c>
      <c r="I34" s="109">
        <f>5154821+298220</f>
        <v>5453041</v>
      </c>
      <c r="J34" s="108">
        <f t="shared" si="0"/>
        <v>81839</v>
      </c>
      <c r="K34" s="107">
        <f t="shared" si="0"/>
        <v>7499256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479</v>
      </c>
      <c r="E35" s="116">
        <f>'８月'!K35</f>
        <v>59543</v>
      </c>
      <c r="F35" s="112">
        <v>1471</v>
      </c>
      <c r="G35" s="111">
        <v>184830</v>
      </c>
      <c r="H35" s="110">
        <v>1374</v>
      </c>
      <c r="I35" s="109">
        <v>175266</v>
      </c>
      <c r="J35" s="108">
        <f t="shared" si="0"/>
        <v>576</v>
      </c>
      <c r="K35" s="107">
        <f t="shared" si="0"/>
        <v>69107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139</v>
      </c>
      <c r="E36" s="116">
        <f>'８月'!K36</f>
        <v>29480</v>
      </c>
      <c r="F36" s="112">
        <v>181</v>
      </c>
      <c r="G36" s="111">
        <v>36520</v>
      </c>
      <c r="H36" s="110">
        <v>172</v>
      </c>
      <c r="I36" s="109">
        <v>36080</v>
      </c>
      <c r="J36" s="108">
        <f t="shared" si="0"/>
        <v>148</v>
      </c>
      <c r="K36" s="107">
        <f t="shared" si="0"/>
        <v>29920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726</v>
      </c>
      <c r="E38" s="116">
        <f>'８月'!K38</f>
        <v>140840</v>
      </c>
      <c r="F38" s="112">
        <v>79</v>
      </c>
      <c r="G38" s="111">
        <v>14961</v>
      </c>
      <c r="H38" s="110">
        <v>38</v>
      </c>
      <c r="I38" s="109">
        <v>7881</v>
      </c>
      <c r="J38" s="108">
        <f t="shared" si="0"/>
        <v>767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32383</v>
      </c>
      <c r="E42" s="116">
        <f>'８月'!K42</f>
        <v>4781492</v>
      </c>
      <c r="F42" s="112">
        <v>24336</v>
      </c>
      <c r="G42" s="111">
        <v>7390254</v>
      </c>
      <c r="H42" s="110">
        <v>27996</v>
      </c>
      <c r="I42" s="109">
        <v>8508466</v>
      </c>
      <c r="J42" s="108">
        <f t="shared" si="0"/>
        <v>28723</v>
      </c>
      <c r="K42" s="107">
        <f t="shared" si="0"/>
        <v>3663280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4798</v>
      </c>
      <c r="E43" s="116">
        <f>'８月'!K43</f>
        <v>1483049</v>
      </c>
      <c r="F43" s="112">
        <v>8195</v>
      </c>
      <c r="G43" s="111">
        <v>2725232</v>
      </c>
      <c r="H43" s="110">
        <v>7281</v>
      </c>
      <c r="I43" s="109">
        <v>2411562</v>
      </c>
      <c r="J43" s="108">
        <f t="shared" si="0"/>
        <v>5712</v>
      </c>
      <c r="K43" s="107">
        <f t="shared" si="0"/>
        <v>1796719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113550</v>
      </c>
      <c r="F44" s="112">
        <v>2</v>
      </c>
      <c r="G44" s="111">
        <v>1501</v>
      </c>
      <c r="H44" s="110">
        <v>2</v>
      </c>
      <c r="I44" s="109">
        <v>1771</v>
      </c>
      <c r="J44" s="108">
        <f t="shared" si="0"/>
        <v>77</v>
      </c>
      <c r="K44" s="107">
        <f t="shared" si="0"/>
        <v>113280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6237</v>
      </c>
      <c r="E45" s="116">
        <f>'８月'!K45</f>
        <v>3165923</v>
      </c>
      <c r="F45" s="112">
        <v>2581</v>
      </c>
      <c r="G45" s="111">
        <v>684741</v>
      </c>
      <c r="H45" s="110">
        <v>2191</v>
      </c>
      <c r="I45" s="109">
        <v>546641</v>
      </c>
      <c r="J45" s="108">
        <f t="shared" si="0"/>
        <v>6627</v>
      </c>
      <c r="K45" s="107">
        <f t="shared" si="0"/>
        <v>3304023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7547</v>
      </c>
      <c r="E46" s="116">
        <f>'８月'!K46</f>
        <v>1253940</v>
      </c>
      <c r="F46" s="105">
        <v>3896</v>
      </c>
      <c r="G46" s="104">
        <v>715445</v>
      </c>
      <c r="H46" s="103">
        <v>3222</v>
      </c>
      <c r="I46" s="102">
        <v>600527</v>
      </c>
      <c r="J46" s="101">
        <f t="shared" si="0"/>
        <v>8221</v>
      </c>
      <c r="K46" s="100">
        <f t="shared" si="0"/>
        <v>1368858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5161</v>
      </c>
      <c r="E47" s="116">
        <f>'８月'!K47</f>
        <v>3648537</v>
      </c>
      <c r="F47" s="105">
        <v>10577</v>
      </c>
      <c r="G47" s="104">
        <v>5926296</v>
      </c>
      <c r="H47" s="103">
        <f>9456+38</f>
        <v>9494</v>
      </c>
      <c r="I47" s="102">
        <f>6044349+120000</f>
        <v>6164349</v>
      </c>
      <c r="J47" s="101">
        <f t="shared" si="0"/>
        <v>6244</v>
      </c>
      <c r="K47" s="100">
        <f t="shared" si="0"/>
        <v>3410484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4154</v>
      </c>
      <c r="E49" s="97">
        <f>'８月'!K49</f>
        <v>1796458</v>
      </c>
      <c r="F49" s="98">
        <v>4947</v>
      </c>
      <c r="G49" s="97">
        <v>1397807</v>
      </c>
      <c r="H49" s="96">
        <v>4299</v>
      </c>
      <c r="I49" s="95">
        <v>1036988</v>
      </c>
      <c r="J49" s="94">
        <f t="shared" si="0"/>
        <v>4802</v>
      </c>
      <c r="K49" s="93">
        <f t="shared" si="0"/>
        <v>2157277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129008</v>
      </c>
      <c r="G50" s="87">
        <f t="shared" si="1"/>
        <v>42111219</v>
      </c>
      <c r="H50" s="89">
        <f t="shared" si="1"/>
        <v>126703</v>
      </c>
      <c r="I50" s="87">
        <f t="shared" si="1"/>
        <v>42160537</v>
      </c>
      <c r="J50" s="88">
        <f t="shared" si="0"/>
        <v>273423</v>
      </c>
      <c r="K50" s="87">
        <f t="shared" si="0"/>
        <v>65345781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2017-11-06T05:44:26Z</cp:lastPrinted>
  <dcterms:created xsi:type="dcterms:W3CDTF">2001-03-04T05:07:28Z</dcterms:created>
  <dcterms:modified xsi:type="dcterms:W3CDTF">2017-11-06T05:45:10Z</dcterms:modified>
  <cp:category/>
  <cp:version/>
  <cp:contentType/>
  <cp:contentStatus/>
</cp:coreProperties>
</file>