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firstSheet="1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<sst xmlns="http://schemas.openxmlformats.org/spreadsheetml/2006/main" count="865" uniqueCount="74">
  <si>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</si>
  <si>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</si>
  <si>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</si>
  <si>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</si>
  <si>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</si>
  <si>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</si>
  <si>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</si>
  <si>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</si>
  <si>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</si>
  <si>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</si>
  <si>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</si>
  <si>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</si>
  <si>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</si>
  <si>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</si>
  <si>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</si>
  <si>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</si>
  <si>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</si>
  <si>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</si>
  <si>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</si>
  <si>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</si>
  <si>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</si>
  <si>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</si>
  <si>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</si>
  <si>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</si>
  <si>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</si>
  <si>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</si>
  <si>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</si>
  <si>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</si>
  <si>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</si>
  <si>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</si>
  <si>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</si>
  <si>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</si>
  <si>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</si>
  <si>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</si>
  <si>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</si>
  <si>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</si>
  <si>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</si>
  <si>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</si>
  <si>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</si>
  <si>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</si>
  <si>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</si>
  <si>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</si>
  <si>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</si>
  <si>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</si>
  <si>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</si>
  <si>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</si>
  <si>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</si>
  <si>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</si>
  <si>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</si>
  <si>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</si>
  <si>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</si>
  <si>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</si>
  <si>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</si>
  <si>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</si>
  <si>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</si>
  <si>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</si>
  <si>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</si>
  <si>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</si>
  <si>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</si>
  <si>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</si>
  <si>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</si>
  <si>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</si>
  <si>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</si>
  <si>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</si>
  <si>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</si>
  <si>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</si>
  <si>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</si>
  <si>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</si>
  <si>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</si>
  <si>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</si>
  <si>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</si>
  <si>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</si>
  <si>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</si>
  <si>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平成２９年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</si>
</sst>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33471</v>
      </c>
      <c r="E10" s="40">
        <v>8825676</v>
      </c>
      <c r="F10" s="41">
        <v>2121</v>
      </c>
      <c r="G10" s="42">
        <v>189982</v>
      </c>
      <c r="H10" s="43">
        <v>2642</v>
      </c>
      <c r="I10" s="40">
        <v>350753</v>
      </c>
      <c r="J10" s="29">
        <f aca="true" t="shared" si="0" ref="J10:J50">D10+F10-H10</f>
        <v>32950</v>
      </c>
      <c r="K10" s="30">
        <f aca="true" t="shared" si="1" ref="K10:K50">E10+G10-I10</f>
        <v>8664905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1228</v>
      </c>
      <c r="E11" s="45">
        <v>137530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1228</v>
      </c>
      <c r="K11" s="33">
        <f t="shared" si="1"/>
        <v>137530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1293</v>
      </c>
      <c r="E13" s="45">
        <v>165273</v>
      </c>
      <c r="F13" s="46">
        <v>864</v>
      </c>
      <c r="G13" s="47">
        <v>188082</v>
      </c>
      <c r="H13" s="48">
        <v>284</v>
      </c>
      <c r="I13" s="45">
        <v>39785</v>
      </c>
      <c r="J13" s="32">
        <f t="shared" si="0"/>
        <v>1873</v>
      </c>
      <c r="K13" s="33">
        <f t="shared" si="1"/>
        <v>313570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67</v>
      </c>
      <c r="E18" s="45">
        <v>9875</v>
      </c>
      <c r="F18" s="46">
        <v>38</v>
      </c>
      <c r="G18" s="47">
        <v>3900</v>
      </c>
      <c r="H18" s="48">
        <v>47</v>
      </c>
      <c r="I18" s="45">
        <v>4580</v>
      </c>
      <c r="J18" s="32">
        <f t="shared" si="0"/>
        <v>58</v>
      </c>
      <c r="K18" s="33">
        <f t="shared" si="1"/>
        <v>9195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5009</v>
      </c>
      <c r="E22" s="45">
        <v>728120</v>
      </c>
      <c r="F22" s="46">
        <v>1878</v>
      </c>
      <c r="G22" s="47">
        <v>271520</v>
      </c>
      <c r="H22" s="48">
        <v>1526</v>
      </c>
      <c r="I22" s="45">
        <v>232000</v>
      </c>
      <c r="J22" s="32">
        <f t="shared" si="0"/>
        <v>5361</v>
      </c>
      <c r="K22" s="33">
        <f t="shared" si="1"/>
        <v>767640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2648</v>
      </c>
      <c r="E23" s="59">
        <v>1609758</v>
      </c>
      <c r="F23" s="56">
        <v>1005</v>
      </c>
      <c r="G23" s="57">
        <v>1362100</v>
      </c>
      <c r="H23" s="58">
        <v>1048</v>
      </c>
      <c r="I23" s="59">
        <v>1304175</v>
      </c>
      <c r="J23" s="64">
        <f t="shared" si="0"/>
        <v>2605</v>
      </c>
      <c r="K23" s="65">
        <f t="shared" si="1"/>
        <v>1667683</v>
      </c>
      <c r="L23" s="71"/>
    </row>
    <row r="24" spans="2:12" ht="20.25" customHeight="1">
      <c r="B24" s="21">
        <v>15</v>
      </c>
      <c r="C24" s="22" t="s">
        <v>20</v>
      </c>
      <c r="D24" s="44">
        <v>25639</v>
      </c>
      <c r="E24" s="45">
        <v>3096490</v>
      </c>
      <c r="F24" s="46">
        <v>779</v>
      </c>
      <c r="G24" s="47">
        <v>1323602</v>
      </c>
      <c r="H24" s="48">
        <v>771</v>
      </c>
      <c r="I24" s="45">
        <v>1294014</v>
      </c>
      <c r="J24" s="32">
        <f t="shared" si="0"/>
        <v>25647</v>
      </c>
      <c r="K24" s="33">
        <f t="shared" si="1"/>
        <v>3126078</v>
      </c>
      <c r="L24" s="34"/>
    </row>
    <row r="25" spans="2:12" ht="20.25" customHeight="1">
      <c r="B25" s="21">
        <v>16</v>
      </c>
      <c r="C25" s="22" t="s">
        <v>21</v>
      </c>
      <c r="D25" s="44">
        <v>6178</v>
      </c>
      <c r="E25" s="45">
        <v>3623214</v>
      </c>
      <c r="F25" s="46">
        <f>5176+1</f>
        <v>5177</v>
      </c>
      <c r="G25" s="47">
        <f>1225141+654</f>
        <v>1225795</v>
      </c>
      <c r="H25" s="48">
        <f>4773+2</f>
        <v>4775</v>
      </c>
      <c r="I25" s="45">
        <f>1078018+3649</f>
        <v>1081667</v>
      </c>
      <c r="J25" s="32">
        <f t="shared" si="0"/>
        <v>6580</v>
      </c>
      <c r="K25" s="33">
        <f t="shared" si="1"/>
        <v>3767342</v>
      </c>
      <c r="L25" s="34"/>
    </row>
    <row r="26" spans="2:12" ht="20.25" customHeight="1">
      <c r="B26" s="21">
        <v>17</v>
      </c>
      <c r="C26" s="22" t="s">
        <v>22</v>
      </c>
      <c r="D26" s="44">
        <v>18833</v>
      </c>
      <c r="E26" s="45">
        <v>6604383</v>
      </c>
      <c r="F26" s="46">
        <v>6313</v>
      </c>
      <c r="G26" s="47">
        <v>1181852</v>
      </c>
      <c r="H26" s="48">
        <v>6369</v>
      </c>
      <c r="I26" s="45">
        <v>1285186</v>
      </c>
      <c r="J26" s="32">
        <f t="shared" si="0"/>
        <v>18777</v>
      </c>
      <c r="K26" s="33">
        <f t="shared" si="1"/>
        <v>6501049</v>
      </c>
      <c r="L26" s="34"/>
    </row>
    <row r="27" spans="2:12" ht="20.25" customHeight="1">
      <c r="B27" s="21">
        <v>18</v>
      </c>
      <c r="C27" s="22" t="s">
        <v>51</v>
      </c>
      <c r="D27" s="44">
        <v>2009</v>
      </c>
      <c r="E27" s="45">
        <v>324150</v>
      </c>
      <c r="F27" s="46">
        <v>226</v>
      </c>
      <c r="G27" s="47">
        <v>59350</v>
      </c>
      <c r="H27" s="48">
        <v>267</v>
      </c>
      <c r="I27" s="45">
        <v>69950</v>
      </c>
      <c r="J27" s="32">
        <f t="shared" si="0"/>
        <v>1968</v>
      </c>
      <c r="K27" s="33">
        <f t="shared" si="1"/>
        <v>313550</v>
      </c>
      <c r="L27" s="34"/>
    </row>
    <row r="28" spans="2:12" ht="20.25" customHeight="1">
      <c r="B28" s="21">
        <v>19</v>
      </c>
      <c r="C28" s="22" t="s">
        <v>23</v>
      </c>
      <c r="D28" s="44">
        <v>620</v>
      </c>
      <c r="E28" s="45">
        <v>68200</v>
      </c>
      <c r="F28" s="46">
        <v>680</v>
      </c>
      <c r="G28" s="47">
        <v>74800</v>
      </c>
      <c r="H28" s="48">
        <v>600</v>
      </c>
      <c r="I28" s="45">
        <v>66000</v>
      </c>
      <c r="J28" s="32">
        <f t="shared" si="0"/>
        <v>700</v>
      </c>
      <c r="K28" s="33">
        <f t="shared" si="1"/>
        <v>77000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1061</v>
      </c>
      <c r="E29" s="59">
        <v>322071</v>
      </c>
      <c r="F29" s="74">
        <f>30+67</f>
        <v>97</v>
      </c>
      <c r="G29" s="57">
        <f>6000+66080</f>
        <v>72080</v>
      </c>
      <c r="H29" s="58">
        <f>22+26</f>
        <v>48</v>
      </c>
      <c r="I29" s="59">
        <f>4400+49790</f>
        <v>54190</v>
      </c>
      <c r="J29" s="64">
        <f t="shared" si="0"/>
        <v>1110</v>
      </c>
      <c r="K29" s="65">
        <f t="shared" si="1"/>
        <v>339961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1423</v>
      </c>
      <c r="E30" s="59">
        <v>821160</v>
      </c>
      <c r="F30" s="56">
        <f>317+347</f>
        <v>664</v>
      </c>
      <c r="G30" s="57">
        <f>167940+70965</f>
        <v>238905</v>
      </c>
      <c r="H30" s="58">
        <f>312+274</f>
        <v>586</v>
      </c>
      <c r="I30" s="59">
        <f>194040+68970</f>
        <v>263010</v>
      </c>
      <c r="J30" s="64">
        <f t="shared" si="0"/>
        <v>1501</v>
      </c>
      <c r="K30" s="65">
        <f t="shared" si="1"/>
        <v>797055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14400</v>
      </c>
      <c r="F32" s="56">
        <v>4</v>
      </c>
      <c r="G32" s="57">
        <v>3914</v>
      </c>
      <c r="H32" s="58">
        <v>4</v>
      </c>
      <c r="I32" s="59">
        <v>4714</v>
      </c>
      <c r="J32" s="64">
        <f t="shared" si="0"/>
        <v>20</v>
      </c>
      <c r="K32" s="65">
        <f t="shared" si="1"/>
        <v>13600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21578</v>
      </c>
      <c r="E33" s="59">
        <v>6639849</v>
      </c>
      <c r="F33" s="56">
        <v>15706</v>
      </c>
      <c r="G33" s="57">
        <v>4717965</v>
      </c>
      <c r="H33" s="72">
        <v>16135</v>
      </c>
      <c r="I33" s="59">
        <v>4971965</v>
      </c>
      <c r="J33" s="64">
        <f t="shared" si="0"/>
        <v>21149</v>
      </c>
      <c r="K33" s="65">
        <f t="shared" si="1"/>
        <v>6385849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115599</v>
      </c>
      <c r="E34" s="59">
        <v>6563019</v>
      </c>
      <c r="F34" s="56">
        <f>19505+171</f>
        <v>19676</v>
      </c>
      <c r="G34" s="57">
        <f>3661716+275800</f>
        <v>3937516</v>
      </c>
      <c r="H34" s="58">
        <f>25311+137</f>
        <v>25448</v>
      </c>
      <c r="I34" s="59">
        <f>4347734+232100</f>
        <v>4579834</v>
      </c>
      <c r="J34" s="64">
        <f t="shared" si="0"/>
        <v>109827</v>
      </c>
      <c r="K34" s="65">
        <f t="shared" si="1"/>
        <v>5920701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4136</v>
      </c>
      <c r="E35" s="59">
        <v>3276866</v>
      </c>
      <c r="F35" s="56">
        <v>641</v>
      </c>
      <c r="G35" s="57">
        <v>76233</v>
      </c>
      <c r="H35" s="58">
        <v>476</v>
      </c>
      <c r="I35" s="59">
        <v>55041</v>
      </c>
      <c r="J35" s="64">
        <f t="shared" si="0"/>
        <v>4301</v>
      </c>
      <c r="K35" s="65">
        <f t="shared" si="1"/>
        <v>3298058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165</v>
      </c>
      <c r="E36" s="59">
        <v>33400</v>
      </c>
      <c r="F36" s="56">
        <v>49</v>
      </c>
      <c r="G36" s="57">
        <v>9880</v>
      </c>
      <c r="H36" s="58">
        <v>138</v>
      </c>
      <c r="I36" s="59">
        <v>27880</v>
      </c>
      <c r="J36" s="64">
        <f t="shared" si="0"/>
        <v>76</v>
      </c>
      <c r="K36" s="65">
        <f t="shared" si="1"/>
        <v>15400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691</v>
      </c>
      <c r="E38" s="59">
        <v>140360</v>
      </c>
      <c r="F38" s="56">
        <v>1</v>
      </c>
      <c r="G38" s="57">
        <v>1</v>
      </c>
      <c r="H38" s="58">
        <v>80</v>
      </c>
      <c r="I38" s="59">
        <v>16961</v>
      </c>
      <c r="J38" s="64">
        <f t="shared" si="0"/>
        <v>612</v>
      </c>
      <c r="K38" s="65">
        <f t="shared" si="1"/>
        <v>123400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340</v>
      </c>
      <c r="G39" s="57">
        <v>374000</v>
      </c>
      <c r="H39" s="58">
        <v>240</v>
      </c>
      <c r="I39" s="59">
        <v>264000</v>
      </c>
      <c r="J39" s="64">
        <f t="shared" si="0"/>
        <v>1244</v>
      </c>
      <c r="K39" s="65">
        <f t="shared" si="1"/>
        <v>1368400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45703</v>
      </c>
      <c r="E42" s="59">
        <v>7711896</v>
      </c>
      <c r="F42" s="56">
        <v>6445</v>
      </c>
      <c r="G42" s="57">
        <v>1715654</v>
      </c>
      <c r="H42" s="58">
        <v>9141</v>
      </c>
      <c r="I42" s="59">
        <v>2509048</v>
      </c>
      <c r="J42" s="64">
        <f t="shared" si="0"/>
        <v>43007</v>
      </c>
      <c r="K42" s="65">
        <f t="shared" si="1"/>
        <v>6918502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7572</v>
      </c>
      <c r="E43" s="59">
        <v>2576328</v>
      </c>
      <c r="F43" s="56">
        <v>6324</v>
      </c>
      <c r="G43" s="57">
        <v>1976245</v>
      </c>
      <c r="H43" s="58">
        <v>7293</v>
      </c>
      <c r="I43" s="59">
        <v>2320931</v>
      </c>
      <c r="J43" s="64">
        <f t="shared" si="0"/>
        <v>6603</v>
      </c>
      <c r="K43" s="65">
        <f t="shared" si="1"/>
        <v>2231642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19</v>
      </c>
      <c r="E44" s="59">
        <v>113460</v>
      </c>
      <c r="F44" s="56">
        <v>2</v>
      </c>
      <c r="G44" s="57">
        <v>1501</v>
      </c>
      <c r="H44" s="58">
        <v>2</v>
      </c>
      <c r="I44" s="59">
        <v>1561</v>
      </c>
      <c r="J44" s="64">
        <f t="shared" si="0"/>
        <v>19</v>
      </c>
      <c r="K44" s="65">
        <f t="shared" si="1"/>
        <v>113400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2657</v>
      </c>
      <c r="E45" s="59">
        <v>2057499</v>
      </c>
      <c r="F45" s="56">
        <v>2654</v>
      </c>
      <c r="G45" s="57">
        <v>1094448</v>
      </c>
      <c r="H45" s="58">
        <v>896</v>
      </c>
      <c r="I45" s="59">
        <v>348584</v>
      </c>
      <c r="J45" s="64">
        <f t="shared" si="0"/>
        <v>4415</v>
      </c>
      <c r="K45" s="65">
        <f t="shared" si="1"/>
        <v>2803363</v>
      </c>
      <c r="L45" s="71"/>
    </row>
    <row r="46" spans="2:12" ht="20.25" customHeight="1">
      <c r="B46" s="21">
        <v>37</v>
      </c>
      <c r="C46" s="22" t="s">
        <v>41</v>
      </c>
      <c r="D46" s="44">
        <v>4793</v>
      </c>
      <c r="E46" s="45">
        <v>796688</v>
      </c>
      <c r="F46" s="46">
        <v>2969</v>
      </c>
      <c r="G46" s="47">
        <v>642988</v>
      </c>
      <c r="H46" s="48">
        <v>2187</v>
      </c>
      <c r="I46" s="45">
        <v>390503</v>
      </c>
      <c r="J46" s="32">
        <f t="shared" si="0"/>
        <v>5575</v>
      </c>
      <c r="K46" s="33">
        <f t="shared" si="1"/>
        <v>1049173</v>
      </c>
      <c r="L46" s="34"/>
    </row>
    <row r="47" spans="2:12" ht="32.25" customHeight="1">
      <c r="B47" s="21">
        <v>38</v>
      </c>
      <c r="C47" s="22" t="s">
        <v>42</v>
      </c>
      <c r="D47" s="44">
        <v>6003</v>
      </c>
      <c r="E47" s="45">
        <v>3007963</v>
      </c>
      <c r="F47" s="46">
        <v>1461</v>
      </c>
      <c r="G47" s="47">
        <v>2738909</v>
      </c>
      <c r="H47" s="48">
        <v>5091</v>
      </c>
      <c r="I47" s="45">
        <v>2792490</v>
      </c>
      <c r="J47" s="32">
        <f t="shared" si="0"/>
        <v>2373</v>
      </c>
      <c r="K47" s="33">
        <f t="shared" si="1"/>
        <v>2954382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7952</v>
      </c>
      <c r="E49" s="50">
        <v>2038917</v>
      </c>
      <c r="F49" s="51">
        <v>2931</v>
      </c>
      <c r="G49" s="52">
        <v>836536</v>
      </c>
      <c r="H49" s="53">
        <v>5346</v>
      </c>
      <c r="I49" s="50">
        <v>942761</v>
      </c>
      <c r="J49" s="35">
        <f>D49+F49-H49</f>
        <v>5537</v>
      </c>
      <c r="K49" s="36">
        <f>E49+G49-I49</f>
        <v>1932692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317511</v>
      </c>
      <c r="E50" s="66">
        <f t="shared" si="2"/>
        <v>62564945</v>
      </c>
      <c r="F50" s="68">
        <f t="shared" si="2"/>
        <v>79045</v>
      </c>
      <c r="G50" s="69">
        <f t="shared" si="2"/>
        <v>24317758</v>
      </c>
      <c r="H50" s="68">
        <f t="shared" si="2"/>
        <v>91440</v>
      </c>
      <c r="I50" s="69">
        <f t="shared" si="2"/>
        <v>25271583</v>
      </c>
      <c r="J50" s="70">
        <f t="shared" si="0"/>
        <v>305116</v>
      </c>
      <c r="K50" s="69">
        <f t="shared" si="1"/>
        <v>61611120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54" sqref="E5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28533</v>
      </c>
      <c r="E10" s="116">
        <f>'９月'!K10</f>
        <v>7144802</v>
      </c>
      <c r="F10" s="119">
        <v>2278</v>
      </c>
      <c r="G10" s="118">
        <v>438598</v>
      </c>
      <c r="H10" s="117">
        <v>4089</v>
      </c>
      <c r="I10" s="116">
        <v>877368</v>
      </c>
      <c r="J10" s="115">
        <f aca="true" t="shared" si="0" ref="J10:K50">D10+F10-H10</f>
        <v>26722</v>
      </c>
      <c r="K10" s="114">
        <f t="shared" si="0"/>
        <v>6706032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1014</v>
      </c>
      <c r="E11" s="116">
        <f>'９月'!K11</f>
        <v>83580</v>
      </c>
      <c r="F11" s="105">
        <v>0</v>
      </c>
      <c r="G11" s="104">
        <v>0</v>
      </c>
      <c r="H11" s="103">
        <v>80</v>
      </c>
      <c r="I11" s="102">
        <v>-10500</v>
      </c>
      <c r="J11" s="101">
        <f t="shared" si="0"/>
        <v>934</v>
      </c>
      <c r="K11" s="100">
        <f t="shared" si="0"/>
        <v>94080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149</v>
      </c>
      <c r="E12" s="116">
        <f>'９月'!K12</f>
        <v>19790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3604</v>
      </c>
      <c r="E13" s="116">
        <f>'９月'!K13</f>
        <v>914089</v>
      </c>
      <c r="F13" s="105">
        <v>221</v>
      </c>
      <c r="G13" s="104">
        <v>47200</v>
      </c>
      <c r="H13" s="103">
        <v>893</v>
      </c>
      <c r="I13" s="102">
        <v>221191</v>
      </c>
      <c r="J13" s="101">
        <f t="shared" si="0"/>
        <v>2932</v>
      </c>
      <c r="K13" s="100">
        <f t="shared" si="0"/>
        <v>740098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1220</v>
      </c>
      <c r="E17" s="116">
        <f>'９月'!K17</f>
        <v>3747624</v>
      </c>
      <c r="F17" s="105">
        <v>1439</v>
      </c>
      <c r="G17" s="104">
        <v>4452109</v>
      </c>
      <c r="H17" s="103">
        <v>960</v>
      </c>
      <c r="I17" s="102">
        <v>2960155</v>
      </c>
      <c r="J17" s="101">
        <f t="shared" si="0"/>
        <v>1699</v>
      </c>
      <c r="K17" s="100">
        <f t="shared" si="0"/>
        <v>5239578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43</v>
      </c>
      <c r="E18" s="116">
        <f>'９月'!K18</f>
        <v>4430</v>
      </c>
      <c r="F18" s="105">
        <v>60</v>
      </c>
      <c r="G18" s="104">
        <v>5700</v>
      </c>
      <c r="H18" s="103">
        <v>72</v>
      </c>
      <c r="I18" s="102">
        <v>7040</v>
      </c>
      <c r="J18" s="101">
        <f t="shared" si="0"/>
        <v>31</v>
      </c>
      <c r="K18" s="100">
        <f t="shared" si="0"/>
        <v>3090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8010</v>
      </c>
      <c r="E22" s="116">
        <f>'９月'!K22</f>
        <v>975687</v>
      </c>
      <c r="F22" s="105">
        <v>2429</v>
      </c>
      <c r="G22" s="104">
        <v>301130</v>
      </c>
      <c r="H22" s="103">
        <v>3189</v>
      </c>
      <c r="I22" s="102">
        <v>385930</v>
      </c>
      <c r="J22" s="101">
        <f t="shared" si="0"/>
        <v>7250</v>
      </c>
      <c r="K22" s="100">
        <f t="shared" si="0"/>
        <v>890887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3119</v>
      </c>
      <c r="E23" s="116">
        <f>'９月'!K23</f>
        <v>2447037</v>
      </c>
      <c r="F23" s="112">
        <v>1038</v>
      </c>
      <c r="G23" s="111">
        <v>1318250</v>
      </c>
      <c r="H23" s="110">
        <v>1138</v>
      </c>
      <c r="I23" s="109">
        <v>1208645</v>
      </c>
      <c r="J23" s="108">
        <f t="shared" si="0"/>
        <v>3019</v>
      </c>
      <c r="K23" s="107">
        <f t="shared" si="0"/>
        <v>2556642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25568</v>
      </c>
      <c r="E24" s="116">
        <f>'９月'!K24</f>
        <v>3114513</v>
      </c>
      <c r="F24" s="105">
        <v>1028</v>
      </c>
      <c r="G24" s="104">
        <v>544397</v>
      </c>
      <c r="H24" s="103">
        <v>1065</v>
      </c>
      <c r="I24" s="102">
        <v>530306</v>
      </c>
      <c r="J24" s="101">
        <f t="shared" si="0"/>
        <v>25531</v>
      </c>
      <c r="K24" s="100">
        <f t="shared" si="0"/>
        <v>3128604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7507</v>
      </c>
      <c r="E25" s="116">
        <f>'９月'!K25</f>
        <v>4856374</v>
      </c>
      <c r="F25" s="105">
        <f>4156+62</f>
        <v>4218</v>
      </c>
      <c r="G25" s="104">
        <f>988898+261976</f>
        <v>1250874</v>
      </c>
      <c r="H25" s="103">
        <f>4683+41</f>
        <v>4724</v>
      </c>
      <c r="I25" s="102">
        <f>1153358+185619</f>
        <v>1338977</v>
      </c>
      <c r="J25" s="101">
        <f t="shared" si="0"/>
        <v>7001</v>
      </c>
      <c r="K25" s="100">
        <f t="shared" si="0"/>
        <v>4768271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18939</v>
      </c>
      <c r="E26" s="116">
        <f>'９月'!K26</f>
        <v>7876617</v>
      </c>
      <c r="F26" s="105">
        <v>7855</v>
      </c>
      <c r="G26" s="104">
        <v>2151552</v>
      </c>
      <c r="H26" s="103">
        <v>6433</v>
      </c>
      <c r="I26" s="102">
        <v>1245037</v>
      </c>
      <c r="J26" s="101">
        <f t="shared" si="0"/>
        <v>20361</v>
      </c>
      <c r="K26" s="100">
        <f t="shared" si="0"/>
        <v>8783132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2180</v>
      </c>
      <c r="E27" s="116">
        <f>'９月'!K27</f>
        <v>353700</v>
      </c>
      <c r="F27" s="105">
        <v>371</v>
      </c>
      <c r="G27" s="104">
        <v>79700</v>
      </c>
      <c r="H27" s="103">
        <v>406</v>
      </c>
      <c r="I27" s="102">
        <v>91850</v>
      </c>
      <c r="J27" s="101">
        <f t="shared" si="0"/>
        <v>2145</v>
      </c>
      <c r="K27" s="100">
        <f t="shared" si="0"/>
        <v>341550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600</v>
      </c>
      <c r="E28" s="116">
        <f>'９月'!K28</f>
        <v>66000</v>
      </c>
      <c r="F28" s="105">
        <v>1050</v>
      </c>
      <c r="G28" s="104">
        <v>115500</v>
      </c>
      <c r="H28" s="103">
        <v>800</v>
      </c>
      <c r="I28" s="102">
        <v>88000</v>
      </c>
      <c r="J28" s="101">
        <f t="shared" si="0"/>
        <v>850</v>
      </c>
      <c r="K28" s="100">
        <f t="shared" si="0"/>
        <v>93500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1088</v>
      </c>
      <c r="E29" s="116">
        <f>'９月'!K29</f>
        <v>351481</v>
      </c>
      <c r="F29" s="74">
        <f>18+40</f>
        <v>58</v>
      </c>
      <c r="G29" s="111">
        <f>3600+76600</f>
        <v>80200</v>
      </c>
      <c r="H29" s="110">
        <f>15+36</f>
        <v>51</v>
      </c>
      <c r="I29" s="109">
        <f>3000+68940</f>
        <v>71940</v>
      </c>
      <c r="J29" s="108">
        <f t="shared" si="0"/>
        <v>1095</v>
      </c>
      <c r="K29" s="107">
        <f t="shared" si="0"/>
        <v>359741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1278</v>
      </c>
      <c r="E30" s="116">
        <f>'９月'!K30</f>
        <v>518736</v>
      </c>
      <c r="F30" s="112">
        <f>443+267</f>
        <v>710</v>
      </c>
      <c r="G30" s="111">
        <f>251370+92568</f>
        <v>343938</v>
      </c>
      <c r="H30" s="110">
        <f>360+321</f>
        <v>681</v>
      </c>
      <c r="I30" s="109">
        <f>116889+93120</f>
        <v>210009</v>
      </c>
      <c r="J30" s="108">
        <f t="shared" si="0"/>
        <v>1307</v>
      </c>
      <c r="K30" s="107">
        <f t="shared" si="0"/>
        <v>652665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29</v>
      </c>
      <c r="E32" s="116">
        <f>'９月'!K32</f>
        <v>30055</v>
      </c>
      <c r="F32" s="112">
        <v>0</v>
      </c>
      <c r="G32" s="111">
        <v>8800</v>
      </c>
      <c r="H32" s="110">
        <v>9</v>
      </c>
      <c r="I32" s="109">
        <v>15655</v>
      </c>
      <c r="J32" s="108">
        <f t="shared" si="0"/>
        <v>20</v>
      </c>
      <c r="K32" s="107">
        <f t="shared" si="0"/>
        <v>23200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25642</v>
      </c>
      <c r="E33" s="116">
        <f>'９月'!K33</f>
        <v>8000742</v>
      </c>
      <c r="F33" s="112">
        <v>18459</v>
      </c>
      <c r="G33" s="111">
        <v>5512898</v>
      </c>
      <c r="H33" s="72">
        <v>19138</v>
      </c>
      <c r="I33" s="109">
        <v>5740861</v>
      </c>
      <c r="J33" s="108">
        <f t="shared" si="0"/>
        <v>24963</v>
      </c>
      <c r="K33" s="107">
        <f t="shared" si="0"/>
        <v>7772779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81839</v>
      </c>
      <c r="E34" s="116">
        <f>'９月'!K34</f>
        <v>7499256</v>
      </c>
      <c r="F34" s="112">
        <f>26156+137</f>
        <v>26293</v>
      </c>
      <c r="G34" s="111">
        <f>4643659+295780</f>
        <v>4939439</v>
      </c>
      <c r="H34" s="110">
        <f>25934+135</f>
        <v>26069</v>
      </c>
      <c r="I34" s="109">
        <f>4739295+303735</f>
        <v>5043030</v>
      </c>
      <c r="J34" s="108">
        <f t="shared" si="0"/>
        <v>82063</v>
      </c>
      <c r="K34" s="107">
        <f t="shared" si="0"/>
        <v>7395665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576</v>
      </c>
      <c r="E35" s="116">
        <f>'９月'!K35</f>
        <v>69107</v>
      </c>
      <c r="F35" s="112">
        <v>1641</v>
      </c>
      <c r="G35" s="111">
        <v>195202</v>
      </c>
      <c r="H35" s="110">
        <v>1406</v>
      </c>
      <c r="I35" s="109">
        <v>178148</v>
      </c>
      <c r="J35" s="108">
        <f t="shared" si="0"/>
        <v>811</v>
      </c>
      <c r="K35" s="107">
        <f t="shared" si="0"/>
        <v>86161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148</v>
      </c>
      <c r="E36" s="116">
        <f>'９月'!K36</f>
        <v>29920</v>
      </c>
      <c r="F36" s="112">
        <v>230</v>
      </c>
      <c r="G36" s="111">
        <v>46000</v>
      </c>
      <c r="H36" s="110">
        <v>184</v>
      </c>
      <c r="I36" s="109">
        <v>36640</v>
      </c>
      <c r="J36" s="108">
        <f t="shared" si="0"/>
        <v>194</v>
      </c>
      <c r="K36" s="107">
        <f t="shared" si="0"/>
        <v>39280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767</v>
      </c>
      <c r="E38" s="116">
        <f>'９月'!K38</f>
        <v>147920</v>
      </c>
      <c r="F38" s="112">
        <v>66</v>
      </c>
      <c r="G38" s="111">
        <v>11520</v>
      </c>
      <c r="H38" s="110">
        <v>67</v>
      </c>
      <c r="I38" s="109">
        <v>11400</v>
      </c>
      <c r="J38" s="108">
        <f t="shared" si="0"/>
        <v>766</v>
      </c>
      <c r="K38" s="107">
        <f t="shared" si="0"/>
        <v>148040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1164</v>
      </c>
      <c r="E39" s="116">
        <f>'９月'!K39</f>
        <v>1280400</v>
      </c>
      <c r="F39" s="112">
        <v>220</v>
      </c>
      <c r="G39" s="111">
        <v>242000</v>
      </c>
      <c r="H39" s="110">
        <v>200</v>
      </c>
      <c r="I39" s="109">
        <v>220000</v>
      </c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28723</v>
      </c>
      <c r="E42" s="116">
        <f>'９月'!K42</f>
        <v>3663280</v>
      </c>
      <c r="F42" s="112">
        <v>23358</v>
      </c>
      <c r="G42" s="111">
        <v>6927205</v>
      </c>
      <c r="H42" s="110">
        <v>39238</v>
      </c>
      <c r="I42" s="109">
        <v>6956374</v>
      </c>
      <c r="J42" s="108">
        <f t="shared" si="0"/>
        <v>12843</v>
      </c>
      <c r="K42" s="107">
        <f t="shared" si="0"/>
        <v>3634111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5712</v>
      </c>
      <c r="E43" s="116">
        <f>'９月'!K43</f>
        <v>1796719</v>
      </c>
      <c r="F43" s="112">
        <v>7418</v>
      </c>
      <c r="G43" s="111">
        <v>2575374</v>
      </c>
      <c r="H43" s="110">
        <v>6968</v>
      </c>
      <c r="I43" s="109">
        <v>2314732</v>
      </c>
      <c r="J43" s="108">
        <f t="shared" si="0"/>
        <v>6162</v>
      </c>
      <c r="K43" s="107">
        <f t="shared" si="0"/>
        <v>2057361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77</v>
      </c>
      <c r="E44" s="116">
        <f>'９月'!K44</f>
        <v>113280</v>
      </c>
      <c r="F44" s="112">
        <v>1</v>
      </c>
      <c r="G44" s="111">
        <v>1500</v>
      </c>
      <c r="H44" s="110">
        <v>2</v>
      </c>
      <c r="I44" s="109">
        <v>1530</v>
      </c>
      <c r="J44" s="108">
        <f t="shared" si="0"/>
        <v>76</v>
      </c>
      <c r="K44" s="107">
        <f t="shared" si="0"/>
        <v>113250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6627</v>
      </c>
      <c r="E45" s="116">
        <f>'９月'!K45</f>
        <v>3304023</v>
      </c>
      <c r="F45" s="112">
        <v>3387</v>
      </c>
      <c r="G45" s="111">
        <v>583731</v>
      </c>
      <c r="H45" s="110">
        <v>3366</v>
      </c>
      <c r="I45" s="109">
        <v>927137</v>
      </c>
      <c r="J45" s="108">
        <f t="shared" si="0"/>
        <v>6648</v>
      </c>
      <c r="K45" s="107">
        <f t="shared" si="0"/>
        <v>2960617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8221</v>
      </c>
      <c r="E46" s="116">
        <f>'９月'!K46</f>
        <v>1368858</v>
      </c>
      <c r="F46" s="105">
        <v>4516</v>
      </c>
      <c r="G46" s="104">
        <v>848261</v>
      </c>
      <c r="H46" s="103">
        <v>4403</v>
      </c>
      <c r="I46" s="102">
        <v>815902</v>
      </c>
      <c r="J46" s="101">
        <f t="shared" si="0"/>
        <v>8334</v>
      </c>
      <c r="K46" s="100">
        <f t="shared" si="0"/>
        <v>1401217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6244</v>
      </c>
      <c r="E47" s="116">
        <f>'９月'!K47</f>
        <v>3410484</v>
      </c>
      <c r="F47" s="105">
        <f>3353+8</f>
        <v>3361</v>
      </c>
      <c r="G47" s="104">
        <f>4389027+9000</f>
        <v>4398027</v>
      </c>
      <c r="H47" s="103">
        <f>2730+54</f>
        <v>2784</v>
      </c>
      <c r="I47" s="102">
        <f>4052364+136000</f>
        <v>4188364</v>
      </c>
      <c r="J47" s="101">
        <f t="shared" si="0"/>
        <v>6821</v>
      </c>
      <c r="K47" s="100">
        <f t="shared" si="0"/>
        <v>3620147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4802</v>
      </c>
      <c r="E49" s="97">
        <f>'９月'!K49</f>
        <v>2157277</v>
      </c>
      <c r="F49" s="98">
        <v>5366</v>
      </c>
      <c r="G49" s="97">
        <v>1303549</v>
      </c>
      <c r="H49" s="96">
        <v>4918</v>
      </c>
      <c r="I49" s="95">
        <v>1114339</v>
      </c>
      <c r="J49" s="94">
        <f t="shared" si="0"/>
        <v>5250</v>
      </c>
      <c r="K49" s="93">
        <f t="shared" si="0"/>
        <v>2346487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273423</v>
      </c>
      <c r="E50" s="90">
        <f t="shared" si="1"/>
        <v>65345781</v>
      </c>
      <c r="F50" s="89">
        <f t="shared" si="1"/>
        <v>117071</v>
      </c>
      <c r="G50" s="87">
        <f t="shared" si="1"/>
        <v>38722654</v>
      </c>
      <c r="H50" s="89">
        <f t="shared" si="1"/>
        <v>133333</v>
      </c>
      <c r="I50" s="87">
        <f t="shared" si="1"/>
        <v>36790060</v>
      </c>
      <c r="J50" s="88">
        <f t="shared" si="0"/>
        <v>257161</v>
      </c>
      <c r="K50" s="87">
        <f t="shared" si="0"/>
        <v>67278375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26722</v>
      </c>
      <c r="E10" s="116">
        <f>'１０月'!K10</f>
        <v>6706032</v>
      </c>
      <c r="F10" s="119">
        <v>2274</v>
      </c>
      <c r="G10" s="118">
        <v>224440</v>
      </c>
      <c r="H10" s="117">
        <v>3658</v>
      </c>
      <c r="I10" s="116">
        <v>713250</v>
      </c>
      <c r="J10" s="115">
        <f aca="true" t="shared" si="0" ref="J10:K50">D10+F10-H10</f>
        <v>25338</v>
      </c>
      <c r="K10" s="114">
        <f t="shared" si="0"/>
        <v>6217222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934</v>
      </c>
      <c r="E11" s="116">
        <f>'１０月'!K11</f>
        <v>94080</v>
      </c>
      <c r="F11" s="105">
        <v>0</v>
      </c>
      <c r="G11" s="104">
        <v>0</v>
      </c>
      <c r="H11" s="103">
        <v>0</v>
      </c>
      <c r="I11" s="102">
        <v>-12000</v>
      </c>
      <c r="J11" s="101">
        <f t="shared" si="0"/>
        <v>934</v>
      </c>
      <c r="K11" s="100">
        <f t="shared" si="0"/>
        <v>106080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149</v>
      </c>
      <c r="E12" s="116">
        <f>'１０月'!K12</f>
        <v>19790</v>
      </c>
      <c r="F12" s="105">
        <v>57</v>
      </c>
      <c r="G12" s="104">
        <v>7521</v>
      </c>
      <c r="H12" s="103">
        <v>1</v>
      </c>
      <c r="I12" s="102">
        <v>166</v>
      </c>
      <c r="J12" s="101">
        <f t="shared" si="0"/>
        <v>205</v>
      </c>
      <c r="K12" s="100">
        <f t="shared" si="0"/>
        <v>27145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2932</v>
      </c>
      <c r="E13" s="116">
        <f>'１０月'!K13</f>
        <v>740098</v>
      </c>
      <c r="F13" s="105">
        <v>763</v>
      </c>
      <c r="G13" s="104">
        <v>154824</v>
      </c>
      <c r="H13" s="103">
        <v>645</v>
      </c>
      <c r="I13" s="102">
        <v>161966</v>
      </c>
      <c r="J13" s="101">
        <f t="shared" si="0"/>
        <v>3050</v>
      </c>
      <c r="K13" s="100">
        <f t="shared" si="0"/>
        <v>732956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1699</v>
      </c>
      <c r="E17" s="116">
        <f>'１０月'!K17</f>
        <v>5239578</v>
      </c>
      <c r="F17" s="105">
        <v>1497</v>
      </c>
      <c r="G17" s="104">
        <v>4500392</v>
      </c>
      <c r="H17" s="103">
        <v>1021</v>
      </c>
      <c r="I17" s="102">
        <v>3132285</v>
      </c>
      <c r="J17" s="101">
        <f t="shared" si="0"/>
        <v>2175</v>
      </c>
      <c r="K17" s="100">
        <f t="shared" si="0"/>
        <v>6607685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31</v>
      </c>
      <c r="E18" s="116">
        <f>'１０月'!K18</f>
        <v>3090</v>
      </c>
      <c r="F18" s="105">
        <v>288</v>
      </c>
      <c r="G18" s="104">
        <v>46012</v>
      </c>
      <c r="H18" s="103">
        <v>128</v>
      </c>
      <c r="I18" s="102">
        <v>15980</v>
      </c>
      <c r="J18" s="101">
        <f t="shared" si="0"/>
        <v>191</v>
      </c>
      <c r="K18" s="100">
        <f t="shared" si="0"/>
        <v>33122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7250</v>
      </c>
      <c r="E22" s="116">
        <f>'１０月'!K22</f>
        <v>890887</v>
      </c>
      <c r="F22" s="105">
        <v>1946</v>
      </c>
      <c r="G22" s="104">
        <v>243720</v>
      </c>
      <c r="H22" s="103">
        <v>2388</v>
      </c>
      <c r="I22" s="102">
        <v>293080</v>
      </c>
      <c r="J22" s="101">
        <f t="shared" si="0"/>
        <v>6808</v>
      </c>
      <c r="K22" s="100">
        <f t="shared" si="0"/>
        <v>841527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3019</v>
      </c>
      <c r="E23" s="116">
        <f>'１０月'!K23</f>
        <v>2556642</v>
      </c>
      <c r="F23" s="112">
        <v>2082</v>
      </c>
      <c r="G23" s="111">
        <v>2246050</v>
      </c>
      <c r="H23" s="110">
        <v>2026</v>
      </c>
      <c r="I23" s="109">
        <v>2187996</v>
      </c>
      <c r="J23" s="108">
        <f t="shared" si="0"/>
        <v>3075</v>
      </c>
      <c r="K23" s="107">
        <f t="shared" si="0"/>
        <v>2614696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25531</v>
      </c>
      <c r="E24" s="116">
        <f>'１０月'!K24</f>
        <v>3128604</v>
      </c>
      <c r="F24" s="105">
        <v>1188</v>
      </c>
      <c r="G24" s="104">
        <v>526807</v>
      </c>
      <c r="H24" s="103">
        <v>1159</v>
      </c>
      <c r="I24" s="102">
        <v>457395</v>
      </c>
      <c r="J24" s="101">
        <f t="shared" si="0"/>
        <v>25560</v>
      </c>
      <c r="K24" s="100">
        <f t="shared" si="0"/>
        <v>3198016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7001</v>
      </c>
      <c r="E25" s="116">
        <f>'１０月'!K25</f>
        <v>4768271</v>
      </c>
      <c r="F25" s="105">
        <f>4377+61</f>
        <v>4438</v>
      </c>
      <c r="G25" s="104">
        <f>1191021+259058</f>
        <v>1450079</v>
      </c>
      <c r="H25" s="103">
        <f>4457+81</f>
        <v>4538</v>
      </c>
      <c r="I25" s="102">
        <f>1239849+365049</f>
        <v>1604898</v>
      </c>
      <c r="J25" s="101">
        <f t="shared" si="0"/>
        <v>6901</v>
      </c>
      <c r="K25" s="100">
        <f t="shared" si="0"/>
        <v>4613452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20361</v>
      </c>
      <c r="E26" s="116">
        <f>'１０月'!K26</f>
        <v>8783132</v>
      </c>
      <c r="F26" s="105">
        <v>6674</v>
      </c>
      <c r="G26" s="104">
        <v>1243972</v>
      </c>
      <c r="H26" s="103">
        <v>6599</v>
      </c>
      <c r="I26" s="102">
        <v>1326564</v>
      </c>
      <c r="J26" s="101">
        <f t="shared" si="0"/>
        <v>20436</v>
      </c>
      <c r="K26" s="100">
        <f t="shared" si="0"/>
        <v>8700540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2145</v>
      </c>
      <c r="E27" s="116">
        <f>'１０月'!K27</f>
        <v>341550</v>
      </c>
      <c r="F27" s="105">
        <v>427</v>
      </c>
      <c r="G27" s="104">
        <v>93250</v>
      </c>
      <c r="H27" s="103">
        <v>403</v>
      </c>
      <c r="I27" s="102">
        <v>88200</v>
      </c>
      <c r="J27" s="101">
        <f t="shared" si="0"/>
        <v>2169</v>
      </c>
      <c r="K27" s="100">
        <f t="shared" si="0"/>
        <v>346600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850</v>
      </c>
      <c r="E28" s="116">
        <f>'１０月'!K28</f>
        <v>93500</v>
      </c>
      <c r="F28" s="105">
        <v>1080</v>
      </c>
      <c r="G28" s="104">
        <v>118800</v>
      </c>
      <c r="H28" s="103">
        <v>1080</v>
      </c>
      <c r="I28" s="102">
        <v>118800</v>
      </c>
      <c r="J28" s="101">
        <f t="shared" si="0"/>
        <v>850</v>
      </c>
      <c r="K28" s="100">
        <f t="shared" si="0"/>
        <v>93500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1095</v>
      </c>
      <c r="E29" s="116">
        <f>'１０月'!K29</f>
        <v>359741</v>
      </c>
      <c r="F29" s="74">
        <f>20+40</f>
        <v>60</v>
      </c>
      <c r="G29" s="111">
        <f>4000+76600</f>
        <v>80600</v>
      </c>
      <c r="H29" s="110">
        <f>16+36</f>
        <v>52</v>
      </c>
      <c r="I29" s="109">
        <f>3200+68940</f>
        <v>72140</v>
      </c>
      <c r="J29" s="108">
        <f t="shared" si="0"/>
        <v>1103</v>
      </c>
      <c r="K29" s="107">
        <f t="shared" si="0"/>
        <v>368201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1307</v>
      </c>
      <c r="E30" s="116">
        <f>'１０月'!K30</f>
        <v>652665</v>
      </c>
      <c r="F30" s="112">
        <f>485+296</f>
        <v>781</v>
      </c>
      <c r="G30" s="111">
        <f>188670+95380</f>
        <v>284050</v>
      </c>
      <c r="H30" s="110">
        <f>402+290</f>
        <v>692</v>
      </c>
      <c r="I30" s="109">
        <f>159045+98472</f>
        <v>257517</v>
      </c>
      <c r="J30" s="108">
        <f t="shared" si="0"/>
        <v>1396</v>
      </c>
      <c r="K30" s="107">
        <f t="shared" si="0"/>
        <v>679198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20</v>
      </c>
      <c r="E32" s="116">
        <f>'１０月'!K32</f>
        <v>23200</v>
      </c>
      <c r="F32" s="112">
        <v>0</v>
      </c>
      <c r="G32" s="111">
        <v>6400</v>
      </c>
      <c r="H32" s="110">
        <v>0</v>
      </c>
      <c r="I32" s="109">
        <v>4000</v>
      </c>
      <c r="J32" s="108">
        <f t="shared" si="0"/>
        <v>20</v>
      </c>
      <c r="K32" s="107">
        <f t="shared" si="0"/>
        <v>25600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24963</v>
      </c>
      <c r="E33" s="116">
        <f>'１０月'!K33</f>
        <v>7772779</v>
      </c>
      <c r="F33" s="112">
        <v>18876</v>
      </c>
      <c r="G33" s="111">
        <v>5799325</v>
      </c>
      <c r="H33" s="72">
        <v>20116</v>
      </c>
      <c r="I33" s="109">
        <v>6178975</v>
      </c>
      <c r="J33" s="108">
        <f t="shared" si="0"/>
        <v>23723</v>
      </c>
      <c r="K33" s="107">
        <f t="shared" si="0"/>
        <v>7393129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82063</v>
      </c>
      <c r="E34" s="116">
        <f>'１０月'!K34</f>
        <v>7395665</v>
      </c>
      <c r="F34" s="112">
        <f>26055+124</f>
        <v>26179</v>
      </c>
      <c r="G34" s="111">
        <f>5083740+256780</f>
        <v>5340520</v>
      </c>
      <c r="H34" s="110">
        <f>26507+143</f>
        <v>26650</v>
      </c>
      <c r="I34" s="109">
        <f>5045329+278925</f>
        <v>5324254</v>
      </c>
      <c r="J34" s="108">
        <f t="shared" si="0"/>
        <v>81592</v>
      </c>
      <c r="K34" s="107">
        <f t="shared" si="0"/>
        <v>7411931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811</v>
      </c>
      <c r="E35" s="116">
        <f>'１０月'!K35</f>
        <v>86161</v>
      </c>
      <c r="F35" s="112">
        <v>1402</v>
      </c>
      <c r="G35" s="111">
        <v>175045</v>
      </c>
      <c r="H35" s="110">
        <v>1362</v>
      </c>
      <c r="I35" s="109">
        <v>169707</v>
      </c>
      <c r="J35" s="108">
        <f t="shared" si="0"/>
        <v>851</v>
      </c>
      <c r="K35" s="107">
        <f t="shared" si="0"/>
        <v>91499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194</v>
      </c>
      <c r="E36" s="116">
        <f>'１０月'!K36</f>
        <v>39280</v>
      </c>
      <c r="F36" s="112">
        <v>152</v>
      </c>
      <c r="G36" s="111">
        <v>31600</v>
      </c>
      <c r="H36" s="110">
        <v>151</v>
      </c>
      <c r="I36" s="109">
        <v>30360</v>
      </c>
      <c r="J36" s="108">
        <f t="shared" si="0"/>
        <v>195</v>
      </c>
      <c r="K36" s="107">
        <f t="shared" si="0"/>
        <v>40520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766</v>
      </c>
      <c r="E38" s="116">
        <f>'１０月'!K38</f>
        <v>148040</v>
      </c>
      <c r="F38" s="112">
        <v>44</v>
      </c>
      <c r="G38" s="111">
        <v>6560</v>
      </c>
      <c r="H38" s="110">
        <v>35</v>
      </c>
      <c r="I38" s="109">
        <v>6400</v>
      </c>
      <c r="J38" s="108">
        <f t="shared" si="0"/>
        <v>775</v>
      </c>
      <c r="K38" s="107">
        <f t="shared" si="0"/>
        <v>148200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1184</v>
      </c>
      <c r="E39" s="116">
        <f>'１０月'!K39</f>
        <v>1302400</v>
      </c>
      <c r="F39" s="112">
        <v>180</v>
      </c>
      <c r="G39" s="111">
        <v>198000</v>
      </c>
      <c r="H39" s="110">
        <v>200</v>
      </c>
      <c r="I39" s="109">
        <v>220000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12843</v>
      </c>
      <c r="E42" s="116">
        <f>'１０月'!K42</f>
        <v>3634111</v>
      </c>
      <c r="F42" s="112">
        <v>21764</v>
      </c>
      <c r="G42" s="111">
        <v>6277085</v>
      </c>
      <c r="H42" s="110">
        <v>22155</v>
      </c>
      <c r="I42" s="109">
        <v>6519423</v>
      </c>
      <c r="J42" s="108">
        <f t="shared" si="0"/>
        <v>12452</v>
      </c>
      <c r="K42" s="107">
        <f t="shared" si="0"/>
        <v>3391773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6162</v>
      </c>
      <c r="E43" s="116">
        <f>'１０月'!K43</f>
        <v>2057361</v>
      </c>
      <c r="F43" s="112">
        <v>10218</v>
      </c>
      <c r="G43" s="111">
        <v>2722266</v>
      </c>
      <c r="H43" s="110">
        <v>9427</v>
      </c>
      <c r="I43" s="109">
        <v>2734221</v>
      </c>
      <c r="J43" s="108">
        <f t="shared" si="0"/>
        <v>6953</v>
      </c>
      <c r="K43" s="107">
        <f t="shared" si="0"/>
        <v>2045406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76</v>
      </c>
      <c r="E44" s="116">
        <f>'１０月'!K44</f>
        <v>113250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76</v>
      </c>
      <c r="K44" s="107">
        <f t="shared" si="0"/>
        <v>113250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6648</v>
      </c>
      <c r="E45" s="116">
        <f>'１０月'!K45</f>
        <v>2960617</v>
      </c>
      <c r="F45" s="112">
        <v>4643</v>
      </c>
      <c r="G45" s="111">
        <v>992378</v>
      </c>
      <c r="H45" s="110">
        <v>3755</v>
      </c>
      <c r="I45" s="109">
        <v>621227</v>
      </c>
      <c r="J45" s="108">
        <f t="shared" si="0"/>
        <v>7536</v>
      </c>
      <c r="K45" s="107">
        <f t="shared" si="0"/>
        <v>3331768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8334</v>
      </c>
      <c r="E46" s="116">
        <f>'１０月'!K46</f>
        <v>1401217</v>
      </c>
      <c r="F46" s="105">
        <v>4361</v>
      </c>
      <c r="G46" s="104">
        <v>771416</v>
      </c>
      <c r="H46" s="103">
        <v>7424</v>
      </c>
      <c r="I46" s="102">
        <v>1241906</v>
      </c>
      <c r="J46" s="101">
        <f t="shared" si="0"/>
        <v>5271</v>
      </c>
      <c r="K46" s="100">
        <f t="shared" si="0"/>
        <v>930727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6821</v>
      </c>
      <c r="E47" s="116">
        <f>'１０月'!K47</f>
        <v>3620147</v>
      </c>
      <c r="F47" s="105">
        <v>2516</v>
      </c>
      <c r="G47" s="104">
        <v>3499154</v>
      </c>
      <c r="H47" s="103">
        <v>2446</v>
      </c>
      <c r="I47" s="102">
        <v>3321707</v>
      </c>
      <c r="J47" s="101">
        <f t="shared" si="0"/>
        <v>6891</v>
      </c>
      <c r="K47" s="100">
        <f t="shared" si="0"/>
        <v>3797594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5250</v>
      </c>
      <c r="E49" s="97">
        <f>'１０月'!K49</f>
        <v>2346487</v>
      </c>
      <c r="F49" s="98">
        <v>4625</v>
      </c>
      <c r="G49" s="97">
        <v>1090271</v>
      </c>
      <c r="H49" s="96">
        <v>4666</v>
      </c>
      <c r="I49" s="95">
        <v>1303402</v>
      </c>
      <c r="J49" s="94">
        <f t="shared" si="0"/>
        <v>5209</v>
      </c>
      <c r="K49" s="93">
        <f t="shared" si="0"/>
        <v>2133356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257161</v>
      </c>
      <c r="E50" s="90">
        <f t="shared" si="1"/>
        <v>67278375</v>
      </c>
      <c r="F50" s="89">
        <f t="shared" si="1"/>
        <v>118516</v>
      </c>
      <c r="G50" s="87">
        <f t="shared" si="1"/>
        <v>38132037</v>
      </c>
      <c r="H50" s="89">
        <f t="shared" si="1"/>
        <v>122778</v>
      </c>
      <c r="I50" s="87">
        <f t="shared" si="1"/>
        <v>38095319</v>
      </c>
      <c r="J50" s="88">
        <f t="shared" si="0"/>
        <v>252899</v>
      </c>
      <c r="K50" s="87">
        <f t="shared" si="0"/>
        <v>67315093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9" ySplit="10" topLeftCell="J44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25338</v>
      </c>
      <c r="E10" s="116">
        <f>'１１月'!K10</f>
        <v>6217222</v>
      </c>
      <c r="F10" s="119">
        <v>2298</v>
      </c>
      <c r="G10" s="118">
        <v>304545</v>
      </c>
      <c r="H10" s="117">
        <v>2777</v>
      </c>
      <c r="I10" s="116">
        <v>587443</v>
      </c>
      <c r="J10" s="115">
        <f aca="true" t="shared" si="0" ref="J10:K50">D10+F10-H10</f>
        <v>24859</v>
      </c>
      <c r="K10" s="114">
        <f t="shared" si="0"/>
        <v>5934324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934</v>
      </c>
      <c r="E11" s="116">
        <f>'１１月'!K11</f>
        <v>106080</v>
      </c>
      <c r="F11" s="105">
        <v>0</v>
      </c>
      <c r="G11" s="104">
        <v>0</v>
      </c>
      <c r="H11" s="103">
        <v>20</v>
      </c>
      <c r="I11" s="102">
        <v>3000</v>
      </c>
      <c r="J11" s="101">
        <f t="shared" si="0"/>
        <v>914</v>
      </c>
      <c r="K11" s="100">
        <f t="shared" si="0"/>
        <v>103080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205</v>
      </c>
      <c r="E12" s="116">
        <f>'１１月'!K12</f>
        <v>27145</v>
      </c>
      <c r="F12" s="105">
        <v>25</v>
      </c>
      <c r="G12" s="104">
        <v>3351</v>
      </c>
      <c r="H12" s="103">
        <v>50</v>
      </c>
      <c r="I12" s="102">
        <v>6693</v>
      </c>
      <c r="J12" s="101">
        <f t="shared" si="0"/>
        <v>180</v>
      </c>
      <c r="K12" s="100">
        <f t="shared" si="0"/>
        <v>23803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3050</v>
      </c>
      <c r="E13" s="116">
        <f>'１１月'!K13</f>
        <v>732956</v>
      </c>
      <c r="F13" s="105">
        <v>1075</v>
      </c>
      <c r="G13" s="104">
        <v>243850</v>
      </c>
      <c r="H13" s="103">
        <v>625</v>
      </c>
      <c r="I13" s="102">
        <v>144394</v>
      </c>
      <c r="J13" s="101">
        <f t="shared" si="0"/>
        <v>3500</v>
      </c>
      <c r="K13" s="100">
        <f t="shared" si="0"/>
        <v>832412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2175</v>
      </c>
      <c r="E17" s="116">
        <f>'１１月'!K17</f>
        <v>6607685</v>
      </c>
      <c r="F17" s="105">
        <v>4</v>
      </c>
      <c r="G17" s="104">
        <v>14966</v>
      </c>
      <c r="H17" s="103">
        <v>12</v>
      </c>
      <c r="I17" s="102">
        <v>102321</v>
      </c>
      <c r="J17" s="101">
        <f t="shared" si="0"/>
        <v>2167</v>
      </c>
      <c r="K17" s="100">
        <f t="shared" si="0"/>
        <v>6520330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191</v>
      </c>
      <c r="E18" s="116">
        <f>'１１月'!K18</f>
        <v>33122</v>
      </c>
      <c r="F18" s="105">
        <v>212</v>
      </c>
      <c r="G18" s="104">
        <v>32580</v>
      </c>
      <c r="H18" s="103">
        <v>275</v>
      </c>
      <c r="I18" s="102">
        <v>44447</v>
      </c>
      <c r="J18" s="101">
        <f t="shared" si="0"/>
        <v>128</v>
      </c>
      <c r="K18" s="100">
        <f t="shared" si="0"/>
        <v>21255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6808</v>
      </c>
      <c r="E22" s="116">
        <f>'１１月'!K22</f>
        <v>841527</v>
      </c>
      <c r="F22" s="105">
        <v>4093</v>
      </c>
      <c r="G22" s="104">
        <v>489500</v>
      </c>
      <c r="H22" s="103">
        <v>2097</v>
      </c>
      <c r="I22" s="102">
        <v>271720</v>
      </c>
      <c r="J22" s="101">
        <f t="shared" si="0"/>
        <v>8804</v>
      </c>
      <c r="K22" s="100">
        <f t="shared" si="0"/>
        <v>1059307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3075</v>
      </c>
      <c r="E23" s="116">
        <f>'１１月'!K23</f>
        <v>2614696</v>
      </c>
      <c r="F23" s="112">
        <v>1979</v>
      </c>
      <c r="G23" s="111">
        <v>2356950</v>
      </c>
      <c r="H23" s="110">
        <v>2039</v>
      </c>
      <c r="I23" s="109">
        <v>2184916</v>
      </c>
      <c r="J23" s="108">
        <f t="shared" si="0"/>
        <v>3015</v>
      </c>
      <c r="K23" s="107">
        <f t="shared" si="0"/>
        <v>2786730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25560</v>
      </c>
      <c r="E24" s="116">
        <f>'１１月'!K24</f>
        <v>3198016</v>
      </c>
      <c r="F24" s="105">
        <v>1161</v>
      </c>
      <c r="G24" s="104">
        <v>1447028</v>
      </c>
      <c r="H24" s="103">
        <v>824</v>
      </c>
      <c r="I24" s="102">
        <v>1402709</v>
      </c>
      <c r="J24" s="101">
        <f t="shared" si="0"/>
        <v>25897</v>
      </c>
      <c r="K24" s="100">
        <f t="shared" si="0"/>
        <v>3242335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6901</v>
      </c>
      <c r="E25" s="116">
        <f>'１１月'!K25</f>
        <v>4613452</v>
      </c>
      <c r="F25" s="105">
        <f>5560+31</f>
        <v>5591</v>
      </c>
      <c r="G25" s="104">
        <f>1692137+148287</f>
        <v>1840424</v>
      </c>
      <c r="H25" s="103">
        <f>5199+42</f>
        <v>5241</v>
      </c>
      <c r="I25" s="102">
        <f>1446136+152730</f>
        <v>1598866</v>
      </c>
      <c r="J25" s="101">
        <f t="shared" si="0"/>
        <v>7251</v>
      </c>
      <c r="K25" s="100">
        <f t="shared" si="0"/>
        <v>4855010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20436</v>
      </c>
      <c r="E26" s="116">
        <f>'１１月'!K26</f>
        <v>8700540</v>
      </c>
      <c r="F26" s="105">
        <v>7225</v>
      </c>
      <c r="G26" s="104">
        <v>1419621</v>
      </c>
      <c r="H26" s="103">
        <v>7086</v>
      </c>
      <c r="I26" s="102">
        <v>1539878</v>
      </c>
      <c r="J26" s="101">
        <f t="shared" si="0"/>
        <v>20575</v>
      </c>
      <c r="K26" s="100">
        <f t="shared" si="0"/>
        <v>8580283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2169</v>
      </c>
      <c r="E27" s="116">
        <f>'１１月'!K27</f>
        <v>346600</v>
      </c>
      <c r="F27" s="105">
        <v>220</v>
      </c>
      <c r="G27" s="104">
        <v>66850</v>
      </c>
      <c r="H27" s="103">
        <v>321</v>
      </c>
      <c r="I27" s="102">
        <v>77950</v>
      </c>
      <c r="J27" s="101">
        <f t="shared" si="0"/>
        <v>2068</v>
      </c>
      <c r="K27" s="100">
        <f t="shared" si="0"/>
        <v>335500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850</v>
      </c>
      <c r="E28" s="116">
        <f>'１１月'!K28</f>
        <v>93500</v>
      </c>
      <c r="F28" s="105">
        <v>740</v>
      </c>
      <c r="G28" s="104">
        <v>81400</v>
      </c>
      <c r="H28" s="103">
        <v>830</v>
      </c>
      <c r="I28" s="102">
        <v>91300</v>
      </c>
      <c r="J28" s="101">
        <f t="shared" si="0"/>
        <v>760</v>
      </c>
      <c r="K28" s="100">
        <f t="shared" si="0"/>
        <v>83600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1103</v>
      </c>
      <c r="E29" s="116">
        <f>'１１月'!K29</f>
        <v>368201</v>
      </c>
      <c r="F29" s="74">
        <f>22+40</f>
        <v>62</v>
      </c>
      <c r="G29" s="111">
        <f>4400+76600</f>
        <v>81000</v>
      </c>
      <c r="H29" s="110">
        <f>20+45</f>
        <v>65</v>
      </c>
      <c r="I29" s="109">
        <f>4000+86175</f>
        <v>90175</v>
      </c>
      <c r="J29" s="108">
        <f t="shared" si="0"/>
        <v>1100</v>
      </c>
      <c r="K29" s="107">
        <f t="shared" si="0"/>
        <v>359026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1396</v>
      </c>
      <c r="E30" s="116">
        <f>'１１月'!K30</f>
        <v>679198</v>
      </c>
      <c r="F30" s="112">
        <f>379+329</f>
        <v>708</v>
      </c>
      <c r="G30" s="111">
        <f>187119+85335</f>
        <v>272454</v>
      </c>
      <c r="H30" s="110">
        <f>349+401</f>
        <v>750</v>
      </c>
      <c r="I30" s="109">
        <f>122682+83410</f>
        <v>206092</v>
      </c>
      <c r="J30" s="108">
        <f t="shared" si="0"/>
        <v>1354</v>
      </c>
      <c r="K30" s="107">
        <f t="shared" si="0"/>
        <v>745560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20</v>
      </c>
      <c r="E32" s="116">
        <f>'１１月'!K32</f>
        <v>25600</v>
      </c>
      <c r="F32" s="112">
        <v>12</v>
      </c>
      <c r="G32" s="111">
        <v>10899</v>
      </c>
      <c r="H32" s="110">
        <v>23</v>
      </c>
      <c r="I32" s="109">
        <v>28887</v>
      </c>
      <c r="J32" s="108">
        <f t="shared" si="0"/>
        <v>9</v>
      </c>
      <c r="K32" s="107">
        <f t="shared" si="0"/>
        <v>7612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23723</v>
      </c>
      <c r="E33" s="116">
        <f>'１１月'!K33</f>
        <v>7393129</v>
      </c>
      <c r="F33" s="112">
        <v>17078</v>
      </c>
      <c r="G33" s="111">
        <v>5199868</v>
      </c>
      <c r="H33" s="72">
        <v>19147</v>
      </c>
      <c r="I33" s="109">
        <v>5904309</v>
      </c>
      <c r="J33" s="108">
        <f t="shared" si="0"/>
        <v>21654</v>
      </c>
      <c r="K33" s="107">
        <f t="shared" si="0"/>
        <v>6688688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81592</v>
      </c>
      <c r="E34" s="116">
        <f>'１１月'!K34</f>
        <v>7411931</v>
      </c>
      <c r="F34" s="112">
        <f>24980+109</f>
        <v>25089</v>
      </c>
      <c r="G34" s="111">
        <f>4457879+279338</f>
        <v>4737217</v>
      </c>
      <c r="H34" s="110">
        <f>26630+143</f>
        <v>26773</v>
      </c>
      <c r="I34" s="109">
        <f>4650362+311888</f>
        <v>4962250</v>
      </c>
      <c r="J34" s="108">
        <f t="shared" si="0"/>
        <v>79908</v>
      </c>
      <c r="K34" s="107">
        <f t="shared" si="0"/>
        <v>7186898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851</v>
      </c>
      <c r="E35" s="116">
        <f>'１１月'!K35</f>
        <v>91499</v>
      </c>
      <c r="F35" s="112">
        <v>1421</v>
      </c>
      <c r="G35" s="111">
        <v>178260</v>
      </c>
      <c r="H35" s="110">
        <v>1273</v>
      </c>
      <c r="I35" s="109">
        <v>158366</v>
      </c>
      <c r="J35" s="108">
        <f t="shared" si="0"/>
        <v>999</v>
      </c>
      <c r="K35" s="107">
        <f t="shared" si="0"/>
        <v>111393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195</v>
      </c>
      <c r="E36" s="116">
        <f>'１１月'!K36</f>
        <v>40520</v>
      </c>
      <c r="F36" s="112">
        <v>234</v>
      </c>
      <c r="G36" s="111">
        <v>47560</v>
      </c>
      <c r="H36" s="110">
        <v>208</v>
      </c>
      <c r="I36" s="109">
        <v>43000</v>
      </c>
      <c r="J36" s="108">
        <f t="shared" si="0"/>
        <v>221</v>
      </c>
      <c r="K36" s="107">
        <f t="shared" si="0"/>
        <v>45080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775</v>
      </c>
      <c r="E38" s="116">
        <f>'１１月'!K38</f>
        <v>148200</v>
      </c>
      <c r="F38" s="112">
        <v>31</v>
      </c>
      <c r="G38" s="111">
        <v>6001</v>
      </c>
      <c r="H38" s="110">
        <v>34</v>
      </c>
      <c r="I38" s="109">
        <v>6441</v>
      </c>
      <c r="J38" s="108">
        <f t="shared" si="0"/>
        <v>772</v>
      </c>
      <c r="K38" s="107">
        <f t="shared" si="0"/>
        <v>147760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1164</v>
      </c>
      <c r="E39" s="116">
        <f>'１１月'!K39</f>
        <v>1280400</v>
      </c>
      <c r="F39" s="112">
        <v>240</v>
      </c>
      <c r="G39" s="111">
        <v>264000</v>
      </c>
      <c r="H39" s="110">
        <v>260</v>
      </c>
      <c r="I39" s="109">
        <v>286000</v>
      </c>
      <c r="J39" s="108">
        <f t="shared" si="0"/>
        <v>1144</v>
      </c>
      <c r="K39" s="107">
        <f t="shared" si="0"/>
        <v>1258400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12452</v>
      </c>
      <c r="E42" s="116">
        <f>'１１月'!K42</f>
        <v>3391773</v>
      </c>
      <c r="F42" s="112">
        <v>25472</v>
      </c>
      <c r="G42" s="111">
        <v>7419694</v>
      </c>
      <c r="H42" s="110">
        <v>28399</v>
      </c>
      <c r="I42" s="109">
        <v>8182602</v>
      </c>
      <c r="J42" s="108">
        <f t="shared" si="0"/>
        <v>9525</v>
      </c>
      <c r="K42" s="107">
        <f t="shared" si="0"/>
        <v>2628865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6953</v>
      </c>
      <c r="E43" s="116">
        <f>'１１月'!K43</f>
        <v>2045406</v>
      </c>
      <c r="F43" s="112">
        <v>10300</v>
      </c>
      <c r="G43" s="111">
        <v>2829938</v>
      </c>
      <c r="H43" s="110">
        <v>10556</v>
      </c>
      <c r="I43" s="109">
        <v>3024995</v>
      </c>
      <c r="J43" s="108">
        <f t="shared" si="0"/>
        <v>6697</v>
      </c>
      <c r="K43" s="107">
        <f t="shared" si="0"/>
        <v>1850349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76</v>
      </c>
      <c r="E44" s="116">
        <f>'１１月'!K44</f>
        <v>113250</v>
      </c>
      <c r="F44" s="112">
        <v>2</v>
      </c>
      <c r="G44" s="111">
        <v>1950</v>
      </c>
      <c r="H44" s="110">
        <v>1</v>
      </c>
      <c r="I44" s="109">
        <v>1500</v>
      </c>
      <c r="J44" s="108">
        <f t="shared" si="0"/>
        <v>77</v>
      </c>
      <c r="K44" s="107">
        <f t="shared" si="0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7536</v>
      </c>
      <c r="E45" s="116">
        <f>'１１月'!K45</f>
        <v>3331768</v>
      </c>
      <c r="F45" s="112">
        <v>2548</v>
      </c>
      <c r="G45" s="111">
        <v>330508</v>
      </c>
      <c r="H45" s="110">
        <v>3407</v>
      </c>
      <c r="I45" s="109">
        <v>583955</v>
      </c>
      <c r="J45" s="108">
        <f t="shared" si="0"/>
        <v>6677</v>
      </c>
      <c r="K45" s="107">
        <f t="shared" si="0"/>
        <v>3078321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5271</v>
      </c>
      <c r="E46" s="116">
        <f>'１１月'!K46</f>
        <v>930727</v>
      </c>
      <c r="F46" s="105">
        <v>3550</v>
      </c>
      <c r="G46" s="104">
        <v>586864</v>
      </c>
      <c r="H46" s="103">
        <v>5271</v>
      </c>
      <c r="I46" s="102">
        <v>895900</v>
      </c>
      <c r="J46" s="101">
        <f t="shared" si="0"/>
        <v>3550</v>
      </c>
      <c r="K46" s="100">
        <f t="shared" si="0"/>
        <v>621691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6891</v>
      </c>
      <c r="E47" s="116">
        <f>'１１月'!K47</f>
        <v>3797594</v>
      </c>
      <c r="F47" s="105">
        <v>2245</v>
      </c>
      <c r="G47" s="104">
        <v>3987801</v>
      </c>
      <c r="H47" s="103">
        <f>2326+10</f>
        <v>2336</v>
      </c>
      <c r="I47" s="102">
        <f>4278328+2000</f>
        <v>4280328</v>
      </c>
      <c r="J47" s="101">
        <f t="shared" si="0"/>
        <v>6800</v>
      </c>
      <c r="K47" s="100">
        <f t="shared" si="0"/>
        <v>3505067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5209</v>
      </c>
      <c r="E49" s="97">
        <f>'１１月'!K49</f>
        <v>2133356</v>
      </c>
      <c r="F49" s="98">
        <v>5219</v>
      </c>
      <c r="G49" s="97">
        <v>856802</v>
      </c>
      <c r="H49" s="96">
        <v>4896</v>
      </c>
      <c r="I49" s="95">
        <v>1268499</v>
      </c>
      <c r="J49" s="94">
        <f t="shared" si="0"/>
        <v>5532</v>
      </c>
      <c r="K49" s="93">
        <f t="shared" si="0"/>
        <v>1721659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252899</v>
      </c>
      <c r="E50" s="90">
        <f t="shared" si="1"/>
        <v>67315093</v>
      </c>
      <c r="F50" s="89">
        <f t="shared" si="1"/>
        <v>118834</v>
      </c>
      <c r="G50" s="87">
        <f t="shared" si="1"/>
        <v>35111881</v>
      </c>
      <c r="H50" s="89">
        <f t="shared" si="1"/>
        <v>125596</v>
      </c>
      <c r="I50" s="87">
        <f t="shared" si="1"/>
        <v>37978936</v>
      </c>
      <c r="J50" s="88">
        <f t="shared" si="0"/>
        <v>246137</v>
      </c>
      <c r="K50" s="87">
        <f t="shared" si="0"/>
        <v>64448038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32950</v>
      </c>
      <c r="E10" s="116">
        <f>'１月'!K10</f>
        <v>8664905</v>
      </c>
      <c r="F10" s="119">
        <v>1584</v>
      </c>
      <c r="G10" s="118">
        <v>117647</v>
      </c>
      <c r="H10" s="117">
        <v>2182</v>
      </c>
      <c r="I10" s="116">
        <v>374492</v>
      </c>
      <c r="J10" s="115">
        <f aca="true" t="shared" si="0" ref="J10:J50">D10+F10-H10</f>
        <v>32352</v>
      </c>
      <c r="K10" s="114">
        <f aca="true" t="shared" si="1" ref="K10:K50">E10+G10-I10</f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1228</v>
      </c>
      <c r="E11" s="116">
        <f>'１月'!K11</f>
        <v>137530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928</v>
      </c>
      <c r="K11" s="100">
        <f t="shared" si="1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1873</v>
      </c>
      <c r="E13" s="116">
        <f>'１月'!K13</f>
        <v>313570</v>
      </c>
      <c r="F13" s="105">
        <v>1097</v>
      </c>
      <c r="G13" s="104">
        <v>288975</v>
      </c>
      <c r="H13" s="103">
        <v>242</v>
      </c>
      <c r="I13" s="102">
        <v>34513</v>
      </c>
      <c r="J13" s="101">
        <f t="shared" si="0"/>
        <v>2728</v>
      </c>
      <c r="K13" s="100">
        <f t="shared" si="1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105</v>
      </c>
      <c r="G17" s="104">
        <v>315000</v>
      </c>
      <c r="H17" s="103">
        <v>0</v>
      </c>
      <c r="I17" s="102">
        <v>0</v>
      </c>
      <c r="J17" s="101">
        <f t="shared" si="0"/>
        <v>105</v>
      </c>
      <c r="K17" s="100">
        <f t="shared" si="1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58</v>
      </c>
      <c r="E18" s="116">
        <f>'１月'!K18</f>
        <v>9195</v>
      </c>
      <c r="F18" s="105">
        <v>62</v>
      </c>
      <c r="G18" s="104">
        <v>6120</v>
      </c>
      <c r="H18" s="103">
        <v>60</v>
      </c>
      <c r="I18" s="102">
        <v>5845</v>
      </c>
      <c r="J18" s="101">
        <f t="shared" si="0"/>
        <v>60</v>
      </c>
      <c r="K18" s="100">
        <f t="shared" si="1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5361</v>
      </c>
      <c r="E22" s="116">
        <f>'１月'!K22</f>
        <v>767640</v>
      </c>
      <c r="F22" s="105">
        <v>2961</v>
      </c>
      <c r="G22" s="104">
        <v>352840</v>
      </c>
      <c r="H22" s="103">
        <v>2396</v>
      </c>
      <c r="I22" s="102">
        <v>308400</v>
      </c>
      <c r="J22" s="101">
        <f t="shared" si="0"/>
        <v>5926</v>
      </c>
      <c r="K22" s="100">
        <f t="shared" si="1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2605</v>
      </c>
      <c r="E23" s="116">
        <f>'１月'!K23</f>
        <v>1667683</v>
      </c>
      <c r="F23" s="112">
        <v>983</v>
      </c>
      <c r="G23" s="111">
        <v>1557350</v>
      </c>
      <c r="H23" s="110">
        <v>1280</v>
      </c>
      <c r="I23" s="109">
        <v>1783616</v>
      </c>
      <c r="J23" s="108">
        <f t="shared" si="0"/>
        <v>2308</v>
      </c>
      <c r="K23" s="107">
        <f t="shared" si="1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25647</v>
      </c>
      <c r="E24" s="116">
        <f>'１月'!K24</f>
        <v>3126078</v>
      </c>
      <c r="F24" s="105">
        <v>1142</v>
      </c>
      <c r="G24" s="104">
        <v>445973</v>
      </c>
      <c r="H24" s="103">
        <v>1181</v>
      </c>
      <c r="I24" s="102">
        <v>506332</v>
      </c>
      <c r="J24" s="101">
        <f t="shared" si="0"/>
        <v>25608</v>
      </c>
      <c r="K24" s="100">
        <f t="shared" si="1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6580</v>
      </c>
      <c r="E25" s="116">
        <f>'１月'!K25</f>
        <v>3767342</v>
      </c>
      <c r="F25" s="105">
        <v>4805</v>
      </c>
      <c r="G25" s="104">
        <v>1124627</v>
      </c>
      <c r="H25" s="103">
        <f>4699+6</f>
        <v>4705</v>
      </c>
      <c r="I25" s="102">
        <f>1118304+25865</f>
        <v>1144169</v>
      </c>
      <c r="J25" s="101">
        <f t="shared" si="0"/>
        <v>6680</v>
      </c>
      <c r="K25" s="100">
        <f t="shared" si="1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18777</v>
      </c>
      <c r="E26" s="116">
        <f>'１月'!K26</f>
        <v>6501049</v>
      </c>
      <c r="F26" s="105">
        <v>7888</v>
      </c>
      <c r="G26" s="104">
        <v>1468734</v>
      </c>
      <c r="H26" s="103">
        <v>7449</v>
      </c>
      <c r="I26" s="102">
        <v>1328214</v>
      </c>
      <c r="J26" s="101">
        <f t="shared" si="0"/>
        <v>19216</v>
      </c>
      <c r="K26" s="100">
        <f t="shared" si="1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1968</v>
      </c>
      <c r="E27" s="116">
        <f>'１月'!K27</f>
        <v>313550</v>
      </c>
      <c r="F27" s="105">
        <v>279</v>
      </c>
      <c r="G27" s="104">
        <v>71300</v>
      </c>
      <c r="H27" s="103">
        <v>321</v>
      </c>
      <c r="I27" s="102">
        <v>78700</v>
      </c>
      <c r="J27" s="101">
        <f t="shared" si="0"/>
        <v>1926</v>
      </c>
      <c r="K27" s="100">
        <f t="shared" si="1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700</v>
      </c>
      <c r="E28" s="116">
        <f>'１月'!K28</f>
        <v>77000</v>
      </c>
      <c r="F28" s="105">
        <v>770</v>
      </c>
      <c r="G28" s="104">
        <v>84700</v>
      </c>
      <c r="H28" s="103">
        <v>770</v>
      </c>
      <c r="I28" s="102">
        <v>84700</v>
      </c>
      <c r="J28" s="101">
        <f t="shared" si="0"/>
        <v>700</v>
      </c>
      <c r="K28" s="100">
        <f t="shared" si="1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1110</v>
      </c>
      <c r="E29" s="116">
        <f>'１月'!K29</f>
        <v>339961</v>
      </c>
      <c r="F29" s="74">
        <f>17+24</f>
        <v>41</v>
      </c>
      <c r="G29" s="111">
        <f>3400+45960</f>
        <v>49360</v>
      </c>
      <c r="H29" s="110">
        <f>20+43</f>
        <v>63</v>
      </c>
      <c r="I29" s="109">
        <f>4000+52070</f>
        <v>56070</v>
      </c>
      <c r="J29" s="108">
        <f t="shared" si="0"/>
        <v>1088</v>
      </c>
      <c r="K29" s="107">
        <f t="shared" si="1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1501</v>
      </c>
      <c r="E30" s="116">
        <f>'１月'!K30</f>
        <v>797055</v>
      </c>
      <c r="F30" s="112">
        <f>442+586</f>
        <v>1028</v>
      </c>
      <c r="G30" s="111">
        <f>210840+151916</f>
        <v>362756</v>
      </c>
      <c r="H30" s="110">
        <f>317+576</f>
        <v>893</v>
      </c>
      <c r="I30" s="109">
        <f>167940+131273</f>
        <v>299213</v>
      </c>
      <c r="J30" s="108">
        <f t="shared" si="0"/>
        <v>1636</v>
      </c>
      <c r="K30" s="107">
        <f t="shared" si="1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20</v>
      </c>
      <c r="E32" s="116">
        <f>'１月'!K32</f>
        <v>13600</v>
      </c>
      <c r="F32" s="112">
        <v>9</v>
      </c>
      <c r="G32" s="111">
        <v>16455</v>
      </c>
      <c r="H32" s="110">
        <v>9</v>
      </c>
      <c r="I32" s="109">
        <v>14855</v>
      </c>
      <c r="J32" s="108">
        <f t="shared" si="0"/>
        <v>20</v>
      </c>
      <c r="K32" s="107">
        <f t="shared" si="1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21149</v>
      </c>
      <c r="E33" s="116">
        <f>'１月'!K33</f>
        <v>6385849</v>
      </c>
      <c r="F33" s="112">
        <v>18685</v>
      </c>
      <c r="G33" s="111">
        <v>5804750</v>
      </c>
      <c r="H33" s="72">
        <v>17207</v>
      </c>
      <c r="I33" s="109">
        <v>5118795</v>
      </c>
      <c r="J33" s="108">
        <f t="shared" si="0"/>
        <v>22627</v>
      </c>
      <c r="K33" s="107">
        <f t="shared" si="1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109827</v>
      </c>
      <c r="E34" s="116">
        <f>'１月'!K34</f>
        <v>5920701</v>
      </c>
      <c r="F34" s="112">
        <f>20453+196</f>
        <v>20649</v>
      </c>
      <c r="G34" s="111">
        <f>3736326+294000</f>
        <v>4030326</v>
      </c>
      <c r="H34" s="110">
        <f>19177+130</f>
        <v>19307</v>
      </c>
      <c r="I34" s="109">
        <f>2862258+265900</f>
        <v>3128158</v>
      </c>
      <c r="J34" s="108">
        <f t="shared" si="0"/>
        <v>111169</v>
      </c>
      <c r="K34" s="107">
        <f t="shared" si="1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4301</v>
      </c>
      <c r="E35" s="123">
        <f>'１月'!K35</f>
        <v>3298058</v>
      </c>
      <c r="F35" s="112">
        <v>580</v>
      </c>
      <c r="G35" s="111">
        <v>70580</v>
      </c>
      <c r="H35" s="110">
        <v>529</v>
      </c>
      <c r="I35" s="109">
        <v>62342</v>
      </c>
      <c r="J35" s="108">
        <f t="shared" si="0"/>
        <v>4352</v>
      </c>
      <c r="K35" s="107">
        <f t="shared" si="1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76</v>
      </c>
      <c r="E36" s="116">
        <f>'１月'!K36</f>
        <v>15400</v>
      </c>
      <c r="F36" s="112">
        <v>0</v>
      </c>
      <c r="G36" s="111">
        <v>9880</v>
      </c>
      <c r="H36" s="110">
        <v>28</v>
      </c>
      <c r="I36" s="109">
        <v>15680</v>
      </c>
      <c r="J36" s="108">
        <f t="shared" si="0"/>
        <v>48</v>
      </c>
      <c r="K36" s="107">
        <f t="shared" si="1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612</v>
      </c>
      <c r="E38" s="116">
        <f>'１月'!K38</f>
        <v>123400</v>
      </c>
      <c r="F38" s="112">
        <v>1</v>
      </c>
      <c r="G38" s="111">
        <v>1</v>
      </c>
      <c r="H38" s="110">
        <v>33</v>
      </c>
      <c r="I38" s="109">
        <v>6881</v>
      </c>
      <c r="J38" s="108">
        <f t="shared" si="0"/>
        <v>580</v>
      </c>
      <c r="K38" s="107">
        <f t="shared" si="1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1244</v>
      </c>
      <c r="E39" s="116">
        <f>'１月'!K39</f>
        <v>1368400</v>
      </c>
      <c r="F39" s="112">
        <v>300</v>
      </c>
      <c r="G39" s="111">
        <v>330000</v>
      </c>
      <c r="H39" s="110">
        <v>340</v>
      </c>
      <c r="I39" s="109">
        <v>374000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43007</v>
      </c>
      <c r="E42" s="116">
        <f>'１月'!K42</f>
        <v>6918502</v>
      </c>
      <c r="F42" s="112">
        <v>16023</v>
      </c>
      <c r="G42" s="111">
        <v>4444432</v>
      </c>
      <c r="H42" s="110">
        <v>12120</v>
      </c>
      <c r="I42" s="109">
        <v>3350476</v>
      </c>
      <c r="J42" s="108">
        <f t="shared" si="0"/>
        <v>46910</v>
      </c>
      <c r="K42" s="107">
        <f t="shared" si="1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6603</v>
      </c>
      <c r="E43" s="116">
        <f>'１月'!K43</f>
        <v>2231642</v>
      </c>
      <c r="F43" s="112">
        <v>6591</v>
      </c>
      <c r="G43" s="111">
        <v>2080631</v>
      </c>
      <c r="H43" s="110">
        <v>7253</v>
      </c>
      <c r="I43" s="109">
        <v>2241349</v>
      </c>
      <c r="J43" s="108">
        <f t="shared" si="0"/>
        <v>5941</v>
      </c>
      <c r="K43" s="107">
        <f t="shared" si="1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19</v>
      </c>
      <c r="E44" s="116">
        <f>'１月'!K44</f>
        <v>113400</v>
      </c>
      <c r="F44" s="112">
        <v>2</v>
      </c>
      <c r="G44" s="111">
        <v>1501</v>
      </c>
      <c r="H44" s="110">
        <v>2</v>
      </c>
      <c r="I44" s="109">
        <v>1531</v>
      </c>
      <c r="J44" s="108">
        <f t="shared" si="0"/>
        <v>19</v>
      </c>
      <c r="K44" s="107">
        <f t="shared" si="1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4415</v>
      </c>
      <c r="E45" s="116">
        <f>'１月'!K45</f>
        <v>2803363</v>
      </c>
      <c r="F45" s="112">
        <v>3919</v>
      </c>
      <c r="G45" s="111">
        <v>1251725</v>
      </c>
      <c r="H45" s="110">
        <v>3458</v>
      </c>
      <c r="I45" s="109">
        <v>1428887</v>
      </c>
      <c r="J45" s="108">
        <f t="shared" si="0"/>
        <v>4876</v>
      </c>
      <c r="K45" s="107">
        <f t="shared" si="1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5575</v>
      </c>
      <c r="E46" s="116">
        <f>'１月'!K46</f>
        <v>1049173</v>
      </c>
      <c r="F46" s="105">
        <v>3398</v>
      </c>
      <c r="G46" s="104">
        <v>599456</v>
      </c>
      <c r="H46" s="103">
        <v>2497</v>
      </c>
      <c r="I46" s="102">
        <v>530005</v>
      </c>
      <c r="J46" s="101">
        <f t="shared" si="0"/>
        <v>6476</v>
      </c>
      <c r="K46" s="100">
        <f t="shared" si="1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2373</v>
      </c>
      <c r="E47" s="116">
        <f>'１月'!K47</f>
        <v>2954382</v>
      </c>
      <c r="F47" s="105">
        <v>1512</v>
      </c>
      <c r="G47" s="104">
        <v>2909190</v>
      </c>
      <c r="H47" s="103">
        <v>1392</v>
      </c>
      <c r="I47" s="102">
        <v>2447474</v>
      </c>
      <c r="J47" s="101">
        <f t="shared" si="0"/>
        <v>2493</v>
      </c>
      <c r="K47" s="100">
        <f t="shared" si="1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5537</v>
      </c>
      <c r="E49" s="116">
        <f>'１月'!K49</f>
        <v>1932692</v>
      </c>
      <c r="F49" s="98">
        <v>3832</v>
      </c>
      <c r="G49" s="97">
        <v>906148</v>
      </c>
      <c r="H49" s="96">
        <v>4052</v>
      </c>
      <c r="I49" s="95">
        <v>1033685</v>
      </c>
      <c r="J49" s="94">
        <f t="shared" si="0"/>
        <v>5317</v>
      </c>
      <c r="K49" s="93">
        <f t="shared" si="1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305116</v>
      </c>
      <c r="E50" s="90">
        <f t="shared" si="2"/>
        <v>61611120</v>
      </c>
      <c r="F50" s="89">
        <f t="shared" si="2"/>
        <v>98246</v>
      </c>
      <c r="G50" s="87">
        <f t="shared" si="2"/>
        <v>28700457</v>
      </c>
      <c r="H50" s="89">
        <f t="shared" si="2"/>
        <v>90069</v>
      </c>
      <c r="I50" s="87">
        <f t="shared" si="2"/>
        <v>25803382</v>
      </c>
      <c r="J50" s="88">
        <f t="shared" si="0"/>
        <v>313293</v>
      </c>
      <c r="K50" s="87">
        <f t="shared" si="1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51" sqref="J51:K52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32352</v>
      </c>
      <c r="E10" s="116">
        <f>'２月'!K10</f>
        <v>8408060</v>
      </c>
      <c r="F10" s="119">
        <v>2336</v>
      </c>
      <c r="G10" s="118">
        <v>343213</v>
      </c>
      <c r="H10" s="117">
        <v>2094</v>
      </c>
      <c r="I10" s="116">
        <v>320937</v>
      </c>
      <c r="J10" s="115">
        <f aca="true" t="shared" si="0" ref="J10:K50">D10+F10-H10</f>
        <v>32594</v>
      </c>
      <c r="K10" s="114">
        <f t="shared" si="0"/>
        <v>8430336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928</v>
      </c>
      <c r="E11" s="116">
        <f>'２月'!K11</f>
        <v>92530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628</v>
      </c>
      <c r="K11" s="100">
        <f t="shared" si="0"/>
        <v>47530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2728</v>
      </c>
      <c r="E13" s="116">
        <f>'２月'!K13</f>
        <v>568032</v>
      </c>
      <c r="F13" s="105">
        <v>512</v>
      </c>
      <c r="G13" s="104">
        <v>110758</v>
      </c>
      <c r="H13" s="103">
        <v>237</v>
      </c>
      <c r="I13" s="102">
        <v>36645</v>
      </c>
      <c r="J13" s="101">
        <f t="shared" si="0"/>
        <v>3003</v>
      </c>
      <c r="K13" s="100">
        <f t="shared" si="0"/>
        <v>642145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105</v>
      </c>
      <c r="E17" s="116">
        <f>'２月'!K17</f>
        <v>315000</v>
      </c>
      <c r="F17" s="105">
        <v>1014</v>
      </c>
      <c r="G17" s="104">
        <v>3042000</v>
      </c>
      <c r="H17" s="103">
        <v>170</v>
      </c>
      <c r="I17" s="102">
        <v>510000</v>
      </c>
      <c r="J17" s="101">
        <f t="shared" si="0"/>
        <v>949</v>
      </c>
      <c r="K17" s="100">
        <f t="shared" si="0"/>
        <v>2847000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60</v>
      </c>
      <c r="E18" s="116">
        <f>'２月'!K18</f>
        <v>9470</v>
      </c>
      <c r="F18" s="105">
        <v>60</v>
      </c>
      <c r="G18" s="104">
        <v>5700</v>
      </c>
      <c r="H18" s="103">
        <v>57</v>
      </c>
      <c r="I18" s="102">
        <v>5645</v>
      </c>
      <c r="J18" s="101">
        <f t="shared" si="0"/>
        <v>63</v>
      </c>
      <c r="K18" s="100">
        <f t="shared" si="0"/>
        <v>9525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5926</v>
      </c>
      <c r="E22" s="116">
        <f>'２月'!K22</f>
        <v>812080</v>
      </c>
      <c r="F22" s="105">
        <v>3410</v>
      </c>
      <c r="G22" s="104">
        <v>433080</v>
      </c>
      <c r="H22" s="103">
        <v>2638</v>
      </c>
      <c r="I22" s="102">
        <v>332900</v>
      </c>
      <c r="J22" s="101">
        <f t="shared" si="0"/>
        <v>6698</v>
      </c>
      <c r="K22" s="100">
        <f t="shared" si="0"/>
        <v>912260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2308</v>
      </c>
      <c r="E23" s="116">
        <f>'２月'!K23</f>
        <v>1441417</v>
      </c>
      <c r="F23" s="112">
        <v>1658</v>
      </c>
      <c r="G23" s="111">
        <v>2046900</v>
      </c>
      <c r="H23" s="110">
        <v>1189</v>
      </c>
      <c r="I23" s="109">
        <v>1665259</v>
      </c>
      <c r="J23" s="108">
        <f t="shared" si="0"/>
        <v>2777</v>
      </c>
      <c r="K23" s="107">
        <f t="shared" si="0"/>
        <v>1823058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25608</v>
      </c>
      <c r="E24" s="116">
        <f>'２月'!K24</f>
        <v>3065719</v>
      </c>
      <c r="F24" s="105">
        <v>1260</v>
      </c>
      <c r="G24" s="104">
        <v>1560863</v>
      </c>
      <c r="H24" s="103">
        <v>1206</v>
      </c>
      <c r="I24" s="102">
        <v>1582013</v>
      </c>
      <c r="J24" s="101">
        <f t="shared" si="0"/>
        <v>25662</v>
      </c>
      <c r="K24" s="100">
        <f t="shared" si="0"/>
        <v>3044569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6680</v>
      </c>
      <c r="E25" s="116">
        <f>'２月'!K25</f>
        <v>3747800</v>
      </c>
      <c r="F25" s="105">
        <f>4523+6</f>
        <v>4529</v>
      </c>
      <c r="G25" s="104">
        <f>1085523+15654</f>
        <v>1101177</v>
      </c>
      <c r="H25" s="103">
        <f>4966+4</f>
        <v>4970</v>
      </c>
      <c r="I25" s="102">
        <f>1261281+10698</f>
        <v>1271979</v>
      </c>
      <c r="J25" s="101">
        <f t="shared" si="0"/>
        <v>6239</v>
      </c>
      <c r="K25" s="100">
        <f t="shared" si="0"/>
        <v>3576998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19216</v>
      </c>
      <c r="E26" s="116">
        <f>'２月'!K26</f>
        <v>6641569</v>
      </c>
      <c r="F26" s="105">
        <v>7089</v>
      </c>
      <c r="G26" s="104">
        <v>1336605</v>
      </c>
      <c r="H26" s="103">
        <v>7452</v>
      </c>
      <c r="I26" s="102">
        <v>1548275</v>
      </c>
      <c r="J26" s="101">
        <f t="shared" si="0"/>
        <v>18853</v>
      </c>
      <c r="K26" s="100">
        <f t="shared" si="0"/>
        <v>6429899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1926</v>
      </c>
      <c r="E27" s="116">
        <f>'２月'!K27</f>
        <v>306150</v>
      </c>
      <c r="F27" s="105">
        <v>428</v>
      </c>
      <c r="G27" s="104">
        <v>107650</v>
      </c>
      <c r="H27" s="103">
        <v>302</v>
      </c>
      <c r="I27" s="102">
        <v>78950</v>
      </c>
      <c r="J27" s="101">
        <f t="shared" si="0"/>
        <v>2052</v>
      </c>
      <c r="K27" s="100">
        <f t="shared" si="0"/>
        <v>334850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700</v>
      </c>
      <c r="E28" s="116">
        <f>'２月'!K28</f>
        <v>77000</v>
      </c>
      <c r="F28" s="105">
        <v>930</v>
      </c>
      <c r="G28" s="104">
        <v>102300</v>
      </c>
      <c r="H28" s="103">
        <v>1030</v>
      </c>
      <c r="I28" s="102">
        <v>113300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1088</v>
      </c>
      <c r="E29" s="123">
        <f>'２月'!K29</f>
        <v>333251</v>
      </c>
      <c r="F29" s="112">
        <f>15+30</f>
        <v>45</v>
      </c>
      <c r="G29" s="111">
        <f>3000+57450</f>
        <v>60450</v>
      </c>
      <c r="H29" s="110">
        <f>22+42</f>
        <v>64</v>
      </c>
      <c r="I29" s="109">
        <f>4400+48480</f>
        <v>52880</v>
      </c>
      <c r="J29" s="108">
        <f t="shared" si="0"/>
        <v>1069</v>
      </c>
      <c r="K29" s="107">
        <f t="shared" si="0"/>
        <v>340821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860598</v>
      </c>
      <c r="F30" s="112">
        <f>243+545</f>
        <v>788</v>
      </c>
      <c r="G30" s="111">
        <f>180753+134715</f>
        <v>315468</v>
      </c>
      <c r="H30" s="110">
        <f>503+672</f>
        <v>1175</v>
      </c>
      <c r="I30" s="109">
        <f>337887+120347</f>
        <v>458234</v>
      </c>
      <c r="J30" s="108">
        <f t="shared" si="0"/>
        <v>1249</v>
      </c>
      <c r="K30" s="107">
        <f t="shared" si="0"/>
        <v>717832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20</v>
      </c>
      <c r="E32" s="123">
        <f>'２月'!K32</f>
        <v>15200</v>
      </c>
      <c r="F32" s="112">
        <v>4</v>
      </c>
      <c r="G32" s="111">
        <v>5060</v>
      </c>
      <c r="H32" s="110">
        <v>4</v>
      </c>
      <c r="I32" s="109">
        <v>5860</v>
      </c>
      <c r="J32" s="108">
        <f t="shared" si="0"/>
        <v>20</v>
      </c>
      <c r="K32" s="107">
        <f t="shared" si="0"/>
        <v>14400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22627</v>
      </c>
      <c r="E33" s="123">
        <f>'２月'!K33</f>
        <v>7071804</v>
      </c>
      <c r="F33" s="112">
        <v>18819</v>
      </c>
      <c r="G33" s="111">
        <v>5837570</v>
      </c>
      <c r="H33" s="72">
        <v>18425</v>
      </c>
      <c r="I33" s="109">
        <v>5589922</v>
      </c>
      <c r="J33" s="108">
        <f t="shared" si="0"/>
        <v>23021</v>
      </c>
      <c r="K33" s="107">
        <f t="shared" si="0"/>
        <v>7319452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111169</v>
      </c>
      <c r="E34" s="123">
        <f>'２月'!K34</f>
        <v>6822869</v>
      </c>
      <c r="F34" s="112">
        <f>22999+224</f>
        <v>23223</v>
      </c>
      <c r="G34" s="111">
        <f>6698230+318200</f>
        <v>7016430</v>
      </c>
      <c r="H34" s="110">
        <f>29384+186</f>
        <v>29570</v>
      </c>
      <c r="I34" s="109">
        <f>4938267+320300</f>
        <v>5258567</v>
      </c>
      <c r="J34" s="108">
        <f t="shared" si="0"/>
        <v>104822</v>
      </c>
      <c r="K34" s="107">
        <f t="shared" si="0"/>
        <v>8580732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4352</v>
      </c>
      <c r="E35" s="116">
        <f>'２月'!K35</f>
        <v>3306296</v>
      </c>
      <c r="F35" s="112">
        <v>571</v>
      </c>
      <c r="G35" s="111">
        <v>69542</v>
      </c>
      <c r="H35" s="110">
        <v>4114</v>
      </c>
      <c r="I35" s="109">
        <v>3271899</v>
      </c>
      <c r="J35" s="108">
        <f t="shared" si="0"/>
        <v>809</v>
      </c>
      <c r="K35" s="107">
        <f t="shared" si="0"/>
        <v>103939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48</v>
      </c>
      <c r="E36" s="116">
        <f>'２月'!K36</f>
        <v>9600</v>
      </c>
      <c r="F36" s="112">
        <v>99</v>
      </c>
      <c r="G36" s="111">
        <v>19720</v>
      </c>
      <c r="H36" s="110">
        <v>31</v>
      </c>
      <c r="I36" s="109">
        <v>6000</v>
      </c>
      <c r="J36" s="108">
        <f t="shared" si="0"/>
        <v>116</v>
      </c>
      <c r="K36" s="107">
        <f t="shared" si="0"/>
        <v>23320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580</v>
      </c>
      <c r="E38" s="116">
        <f>'２月'!K38</f>
        <v>116520</v>
      </c>
      <c r="F38" s="112">
        <v>54</v>
      </c>
      <c r="G38" s="111">
        <v>9040</v>
      </c>
      <c r="H38" s="110">
        <v>15</v>
      </c>
      <c r="I38" s="109">
        <v>3000</v>
      </c>
      <c r="J38" s="108">
        <f t="shared" si="0"/>
        <v>619</v>
      </c>
      <c r="K38" s="107">
        <f t="shared" si="0"/>
        <v>122560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>
        <v>180</v>
      </c>
      <c r="G39" s="111">
        <v>198000</v>
      </c>
      <c r="H39" s="110">
        <v>160</v>
      </c>
      <c r="I39" s="109">
        <v>176000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46910</v>
      </c>
      <c r="E42" s="116">
        <f>'２月'!K42</f>
        <v>8012458</v>
      </c>
      <c r="F42" s="112">
        <v>19434</v>
      </c>
      <c r="G42" s="111">
        <v>5248283</v>
      </c>
      <c r="H42" s="110">
        <v>42136</v>
      </c>
      <c r="I42" s="109">
        <v>11100130</v>
      </c>
      <c r="J42" s="108">
        <f t="shared" si="0"/>
        <v>24208</v>
      </c>
      <c r="K42" s="107">
        <f t="shared" si="0"/>
        <v>2160611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5941</v>
      </c>
      <c r="E43" s="116">
        <f>'２月'!K43</f>
        <v>2070924</v>
      </c>
      <c r="F43" s="112">
        <v>7369</v>
      </c>
      <c r="G43" s="111">
        <v>2197381</v>
      </c>
      <c r="H43" s="110">
        <v>7451</v>
      </c>
      <c r="I43" s="109">
        <v>2260418</v>
      </c>
      <c r="J43" s="108">
        <f t="shared" si="0"/>
        <v>5859</v>
      </c>
      <c r="K43" s="107">
        <f t="shared" si="0"/>
        <v>2007887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113370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4876</v>
      </c>
      <c r="E45" s="116">
        <f>'２月'!K45</f>
        <v>2626201</v>
      </c>
      <c r="F45" s="112">
        <v>3066</v>
      </c>
      <c r="G45" s="111">
        <v>566796</v>
      </c>
      <c r="H45" s="110">
        <v>2033</v>
      </c>
      <c r="I45" s="109">
        <v>371992</v>
      </c>
      <c r="J45" s="108">
        <f t="shared" si="0"/>
        <v>5909</v>
      </c>
      <c r="K45" s="107">
        <f t="shared" si="0"/>
        <v>2821005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6476</v>
      </c>
      <c r="E46" s="116">
        <f>'２月'!K46</f>
        <v>1118624</v>
      </c>
      <c r="F46" s="105">
        <v>4651</v>
      </c>
      <c r="G46" s="104">
        <v>819474</v>
      </c>
      <c r="H46" s="103">
        <v>4169</v>
      </c>
      <c r="I46" s="102">
        <v>738003</v>
      </c>
      <c r="J46" s="101">
        <f t="shared" si="0"/>
        <v>6958</v>
      </c>
      <c r="K46" s="100">
        <f t="shared" si="0"/>
        <v>1200095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2493</v>
      </c>
      <c r="E47" s="123">
        <f>'２月'!K47</f>
        <v>3416098</v>
      </c>
      <c r="F47" s="112">
        <f>1560+103</f>
        <v>1663</v>
      </c>
      <c r="G47" s="111">
        <f>814177+288000</f>
        <v>1102177</v>
      </c>
      <c r="H47" s="110">
        <v>1766</v>
      </c>
      <c r="I47" s="109">
        <v>1122380</v>
      </c>
      <c r="J47" s="108">
        <f t="shared" si="0"/>
        <v>2390</v>
      </c>
      <c r="K47" s="107">
        <f t="shared" si="0"/>
        <v>3395895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5317</v>
      </c>
      <c r="E49" s="123">
        <f>'２月'!K49</f>
        <v>1805155</v>
      </c>
      <c r="F49" s="124">
        <v>5569</v>
      </c>
      <c r="G49" s="125">
        <v>1618162</v>
      </c>
      <c r="H49" s="126">
        <v>5003</v>
      </c>
      <c r="I49" s="127">
        <v>1314029</v>
      </c>
      <c r="J49" s="128">
        <f t="shared" si="0"/>
        <v>5883</v>
      </c>
      <c r="K49" s="129">
        <f t="shared" si="0"/>
        <v>2109288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313293</v>
      </c>
      <c r="E50" s="131">
        <f t="shared" si="1"/>
        <v>64508195</v>
      </c>
      <c r="F50" s="132">
        <f t="shared" si="1"/>
        <v>108762</v>
      </c>
      <c r="G50" s="133">
        <f t="shared" si="1"/>
        <v>35275299</v>
      </c>
      <c r="H50" s="132">
        <f t="shared" si="1"/>
        <v>137762</v>
      </c>
      <c r="I50" s="133">
        <f t="shared" si="1"/>
        <v>39241717</v>
      </c>
      <c r="J50" s="134">
        <f t="shared" si="0"/>
        <v>284293</v>
      </c>
      <c r="K50" s="133">
        <f t="shared" si="0"/>
        <v>60541777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32594</v>
      </c>
      <c r="E10" s="116">
        <f>'３月'!K10</f>
        <v>8430336</v>
      </c>
      <c r="F10" s="119">
        <v>1959</v>
      </c>
      <c r="G10" s="118">
        <v>294938</v>
      </c>
      <c r="H10" s="117">
        <v>3486</v>
      </c>
      <c r="I10" s="116">
        <v>578852</v>
      </c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628</v>
      </c>
      <c r="E11" s="116">
        <f>'３月'!K11</f>
        <v>47530</v>
      </c>
      <c r="F11" s="105">
        <v>0</v>
      </c>
      <c r="G11" s="104">
        <v>0</v>
      </c>
      <c r="H11" s="103">
        <v>20</v>
      </c>
      <c r="I11" s="102">
        <v>3000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3003</v>
      </c>
      <c r="E13" s="116">
        <f>'３月'!K13</f>
        <v>642145</v>
      </c>
      <c r="F13" s="105">
        <v>1168</v>
      </c>
      <c r="G13" s="104">
        <v>332016</v>
      </c>
      <c r="H13" s="103">
        <v>269</v>
      </c>
      <c r="I13" s="102">
        <v>44789</v>
      </c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949</v>
      </c>
      <c r="E17" s="116">
        <f>'３月'!K17</f>
        <v>2847000</v>
      </c>
      <c r="F17" s="105">
        <v>796</v>
      </c>
      <c r="G17" s="104">
        <v>2388000</v>
      </c>
      <c r="H17" s="103">
        <v>706</v>
      </c>
      <c r="I17" s="102">
        <v>2118000</v>
      </c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63</v>
      </c>
      <c r="E18" s="116">
        <f>'３月'!K18</f>
        <v>9525</v>
      </c>
      <c r="F18" s="105">
        <v>60</v>
      </c>
      <c r="G18" s="104">
        <v>5700</v>
      </c>
      <c r="H18" s="103">
        <v>74</v>
      </c>
      <c r="I18" s="102">
        <v>7590</v>
      </c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6698</v>
      </c>
      <c r="E22" s="116">
        <f>'３月'!K22</f>
        <v>912260</v>
      </c>
      <c r="F22" s="105">
        <v>1677</v>
      </c>
      <c r="G22" s="104">
        <v>217340</v>
      </c>
      <c r="H22" s="103">
        <v>2625</v>
      </c>
      <c r="I22" s="102">
        <v>321160</v>
      </c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2777</v>
      </c>
      <c r="E23" s="116">
        <f>'３月'!K23</f>
        <v>1823058</v>
      </c>
      <c r="F23" s="112">
        <v>1412</v>
      </c>
      <c r="G23" s="111">
        <v>2065800</v>
      </c>
      <c r="H23" s="110">
        <v>1234</v>
      </c>
      <c r="I23" s="109">
        <v>1729347</v>
      </c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25662</v>
      </c>
      <c r="E24" s="116">
        <f>'３月'!K24</f>
        <v>3044569</v>
      </c>
      <c r="F24" s="105">
        <v>1268</v>
      </c>
      <c r="G24" s="104">
        <v>752491</v>
      </c>
      <c r="H24" s="103">
        <v>1368</v>
      </c>
      <c r="I24" s="102">
        <v>798538</v>
      </c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6239</v>
      </c>
      <c r="E25" s="116">
        <f>'３月'!K25</f>
        <v>3576998</v>
      </c>
      <c r="F25" s="105">
        <v>4630</v>
      </c>
      <c r="G25" s="104">
        <v>1142404</v>
      </c>
      <c r="H25" s="103">
        <f>5190+2</f>
        <v>5192</v>
      </c>
      <c r="I25" s="102">
        <f>1343979+9162</f>
        <v>1353141</v>
      </c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18853</v>
      </c>
      <c r="E26" s="116">
        <f>'３月'!K26</f>
        <v>6429899</v>
      </c>
      <c r="F26" s="105">
        <v>6698</v>
      </c>
      <c r="G26" s="104">
        <v>1468320</v>
      </c>
      <c r="H26" s="103">
        <v>6209</v>
      </c>
      <c r="I26" s="102">
        <v>1270210</v>
      </c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2052</v>
      </c>
      <c r="E27" s="116">
        <f>'３月'!K27</f>
        <v>334850</v>
      </c>
      <c r="F27" s="105">
        <v>280</v>
      </c>
      <c r="G27" s="104">
        <v>68350</v>
      </c>
      <c r="H27" s="103">
        <v>263</v>
      </c>
      <c r="I27" s="102">
        <v>69750</v>
      </c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>
        <v>1100</v>
      </c>
      <c r="G28" s="104">
        <v>121000</v>
      </c>
      <c r="H28" s="103">
        <v>1180</v>
      </c>
      <c r="I28" s="102">
        <v>129800</v>
      </c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1069</v>
      </c>
      <c r="E29" s="116">
        <f>'３月'!K29</f>
        <v>340821</v>
      </c>
      <c r="F29" s="74">
        <f>18+46</f>
        <v>64</v>
      </c>
      <c r="G29" s="111">
        <f>3600+59730</f>
        <v>63330</v>
      </c>
      <c r="H29" s="110">
        <f>20+28</f>
        <v>48</v>
      </c>
      <c r="I29" s="109">
        <f>4000+53620</f>
        <v>57620</v>
      </c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1249</v>
      </c>
      <c r="E30" s="116">
        <f>'３月'!K30</f>
        <v>717832</v>
      </c>
      <c r="F30" s="112">
        <f>411+511</f>
        <v>922</v>
      </c>
      <c r="G30" s="111">
        <f>220770+125844</f>
        <v>346614</v>
      </c>
      <c r="H30" s="110">
        <f>399+543</f>
        <v>942</v>
      </c>
      <c r="I30" s="109">
        <f>235574+98471</f>
        <v>334045</v>
      </c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20</v>
      </c>
      <c r="E32" s="116">
        <f>'３月'!K32</f>
        <v>14400</v>
      </c>
      <c r="F32" s="112">
        <v>12</v>
      </c>
      <c r="G32" s="111">
        <v>11396</v>
      </c>
      <c r="H32" s="110">
        <v>5</v>
      </c>
      <c r="I32" s="109">
        <v>6141</v>
      </c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23021</v>
      </c>
      <c r="E33" s="116">
        <f>'３月'!K33</f>
        <v>7319452</v>
      </c>
      <c r="F33" s="112">
        <v>19619</v>
      </c>
      <c r="G33" s="111">
        <v>6084736</v>
      </c>
      <c r="H33" s="72">
        <v>17918</v>
      </c>
      <c r="I33" s="109">
        <v>5368400</v>
      </c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104822</v>
      </c>
      <c r="E34" s="116">
        <f>'３月'!K34</f>
        <v>8580732</v>
      </c>
      <c r="F34" s="112">
        <f>21310+145</f>
        <v>21455</v>
      </c>
      <c r="G34" s="111">
        <f>4171985+308900</f>
        <v>4480885</v>
      </c>
      <c r="H34" s="110">
        <f>27438+150</f>
        <v>27588</v>
      </c>
      <c r="I34" s="109">
        <f>4741702+323900</f>
        <v>5065602</v>
      </c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809</v>
      </c>
      <c r="E35" s="116">
        <f>'３月'!K35</f>
        <v>103939</v>
      </c>
      <c r="F35" s="112">
        <v>613</v>
      </c>
      <c r="G35" s="111">
        <v>74671</v>
      </c>
      <c r="H35" s="110">
        <v>614</v>
      </c>
      <c r="I35" s="109">
        <v>76025</v>
      </c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116</v>
      </c>
      <c r="E36" s="116">
        <f>'３月'!K36</f>
        <v>23320</v>
      </c>
      <c r="F36" s="112">
        <v>157</v>
      </c>
      <c r="G36" s="111">
        <v>31400</v>
      </c>
      <c r="H36" s="110">
        <v>138</v>
      </c>
      <c r="I36" s="109">
        <v>27760</v>
      </c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619</v>
      </c>
      <c r="E38" s="116">
        <f>'３月'!K38</f>
        <v>122560</v>
      </c>
      <c r="F38" s="112">
        <v>76</v>
      </c>
      <c r="G38" s="111">
        <v>14561</v>
      </c>
      <c r="H38" s="110">
        <v>92</v>
      </c>
      <c r="I38" s="109">
        <v>17441</v>
      </c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1224</v>
      </c>
      <c r="E39" s="116">
        <f>'３月'!K39</f>
        <v>1346400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24208</v>
      </c>
      <c r="E42" s="116">
        <f>'３月'!K42</f>
        <v>2160611</v>
      </c>
      <c r="F42" s="112">
        <v>22212</v>
      </c>
      <c r="G42" s="111">
        <v>6323857</v>
      </c>
      <c r="H42" s="110">
        <v>22183</v>
      </c>
      <c r="I42" s="109">
        <v>6341256</v>
      </c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5859</v>
      </c>
      <c r="E43" s="116">
        <f>'３月'!K43</f>
        <v>2007887</v>
      </c>
      <c r="F43" s="112">
        <v>7220</v>
      </c>
      <c r="G43" s="111">
        <v>2271259</v>
      </c>
      <c r="H43" s="110">
        <v>8097</v>
      </c>
      <c r="I43" s="109">
        <v>2653222</v>
      </c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19</v>
      </c>
      <c r="E44" s="116">
        <f>'３月'!K44</f>
        <v>113370</v>
      </c>
      <c r="F44" s="112">
        <v>2</v>
      </c>
      <c r="G44" s="111">
        <v>1621</v>
      </c>
      <c r="H44" s="110">
        <v>2</v>
      </c>
      <c r="I44" s="109">
        <v>1501</v>
      </c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5909</v>
      </c>
      <c r="E45" s="116">
        <f>'３月'!K45</f>
        <v>2821005</v>
      </c>
      <c r="F45" s="112">
        <v>1756</v>
      </c>
      <c r="G45" s="111">
        <v>502451</v>
      </c>
      <c r="H45" s="110">
        <v>1593</v>
      </c>
      <c r="I45" s="109">
        <v>320857</v>
      </c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6958</v>
      </c>
      <c r="E46" s="116">
        <f>'３月'!K46</f>
        <v>1200095</v>
      </c>
      <c r="F46" s="105">
        <v>3156</v>
      </c>
      <c r="G46" s="104">
        <v>536867</v>
      </c>
      <c r="H46" s="103">
        <v>4233</v>
      </c>
      <c r="I46" s="102">
        <v>805972</v>
      </c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2390</v>
      </c>
      <c r="E47" s="116">
        <f>'３月'!K47</f>
        <v>3395895</v>
      </c>
      <c r="F47" s="105">
        <f>1811+65</f>
        <v>1876</v>
      </c>
      <c r="G47" s="104">
        <f>999244+125000</f>
        <v>1124244</v>
      </c>
      <c r="H47" s="103">
        <f>1264+10</f>
        <v>1274</v>
      </c>
      <c r="I47" s="102">
        <f>496366+28000</f>
        <v>524366</v>
      </c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5883</v>
      </c>
      <c r="E49" s="116">
        <f>'３月'!K49</f>
        <v>2109288</v>
      </c>
      <c r="F49" s="98">
        <v>5183</v>
      </c>
      <c r="G49" s="97">
        <v>1556400</v>
      </c>
      <c r="H49" s="96">
        <v>4555</v>
      </c>
      <c r="I49" s="95">
        <v>1548473</v>
      </c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284293</v>
      </c>
      <c r="E50" s="90">
        <f t="shared" si="1"/>
        <v>60541777</v>
      </c>
      <c r="F50" s="89">
        <f t="shared" si="1"/>
        <v>105771</v>
      </c>
      <c r="G50" s="87">
        <f t="shared" si="1"/>
        <v>32720651</v>
      </c>
      <c r="H50" s="89">
        <f t="shared" si="1"/>
        <v>112288</v>
      </c>
      <c r="I50" s="87">
        <f t="shared" si="1"/>
        <v>31990858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31067</v>
      </c>
      <c r="E10" s="116">
        <f>'４月'!K10</f>
        <v>8146422</v>
      </c>
      <c r="F10" s="119">
        <v>2359</v>
      </c>
      <c r="G10" s="118">
        <v>390774</v>
      </c>
      <c r="H10" s="117">
        <v>2931</v>
      </c>
      <c r="I10" s="116">
        <v>706207</v>
      </c>
      <c r="J10" s="115">
        <f aca="true" t="shared" si="0" ref="J10:K50">D10+F10-H10</f>
        <v>30495</v>
      </c>
      <c r="K10" s="114">
        <f t="shared" si="0"/>
        <v>7830989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608</v>
      </c>
      <c r="E11" s="116">
        <f>'４月'!K11</f>
        <v>44530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3902</v>
      </c>
      <c r="E13" s="116">
        <f>'４月'!K13</f>
        <v>929372</v>
      </c>
      <c r="F13" s="105">
        <v>664</v>
      </c>
      <c r="G13" s="104">
        <v>165307</v>
      </c>
      <c r="H13" s="103">
        <v>785</v>
      </c>
      <c r="I13" s="102">
        <v>192147</v>
      </c>
      <c r="J13" s="101">
        <f t="shared" si="0"/>
        <v>3781</v>
      </c>
      <c r="K13" s="100">
        <f t="shared" si="0"/>
        <v>902532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1039</v>
      </c>
      <c r="E17" s="116">
        <f>'４月'!K17</f>
        <v>3117000</v>
      </c>
      <c r="F17" s="105">
        <v>1206</v>
      </c>
      <c r="G17" s="104">
        <v>3618000</v>
      </c>
      <c r="H17" s="103">
        <v>882</v>
      </c>
      <c r="I17" s="102">
        <v>2646000</v>
      </c>
      <c r="J17" s="101">
        <f t="shared" si="0"/>
        <v>1363</v>
      </c>
      <c r="K17" s="100">
        <f t="shared" si="0"/>
        <v>4089000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49</v>
      </c>
      <c r="E18" s="116">
        <f>'４月'!K18</f>
        <v>7635</v>
      </c>
      <c r="F18" s="105">
        <v>60</v>
      </c>
      <c r="G18" s="104">
        <v>5700</v>
      </c>
      <c r="H18" s="103">
        <v>65</v>
      </c>
      <c r="I18" s="102">
        <v>7020</v>
      </c>
      <c r="J18" s="101">
        <f t="shared" si="0"/>
        <v>44</v>
      </c>
      <c r="K18" s="100">
        <f t="shared" si="0"/>
        <v>6315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5750</v>
      </c>
      <c r="E22" s="116">
        <f>'４月'!K22</f>
        <v>808440</v>
      </c>
      <c r="F22" s="105">
        <v>1703</v>
      </c>
      <c r="G22" s="104">
        <v>229140</v>
      </c>
      <c r="H22" s="103">
        <v>2330</v>
      </c>
      <c r="I22" s="102">
        <v>300540</v>
      </c>
      <c r="J22" s="101">
        <f t="shared" si="0"/>
        <v>5123</v>
      </c>
      <c r="K22" s="100">
        <f t="shared" si="0"/>
        <v>737040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2955</v>
      </c>
      <c r="E23" s="116">
        <f>'４月'!K23</f>
        <v>2159511</v>
      </c>
      <c r="F23" s="112">
        <v>1234</v>
      </c>
      <c r="G23" s="111">
        <v>1683450</v>
      </c>
      <c r="H23" s="110">
        <v>1344</v>
      </c>
      <c r="I23" s="109">
        <v>1944759</v>
      </c>
      <c r="J23" s="108">
        <f t="shared" si="0"/>
        <v>2845</v>
      </c>
      <c r="K23" s="107">
        <f t="shared" si="0"/>
        <v>1898202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25562</v>
      </c>
      <c r="E24" s="116">
        <f>'４月'!K24</f>
        <v>2998522</v>
      </c>
      <c r="F24" s="105">
        <v>1137</v>
      </c>
      <c r="G24" s="104">
        <v>1544895</v>
      </c>
      <c r="H24" s="103">
        <v>1096</v>
      </c>
      <c r="I24" s="102">
        <v>1472894</v>
      </c>
      <c r="J24" s="101">
        <f t="shared" si="0"/>
        <v>25603</v>
      </c>
      <c r="K24" s="100">
        <f t="shared" si="0"/>
        <v>3070523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5677</v>
      </c>
      <c r="E25" s="116">
        <f>'４月'!K25</f>
        <v>3366261</v>
      </c>
      <c r="F25" s="105">
        <f>4737+37</f>
        <v>4774</v>
      </c>
      <c r="G25" s="104">
        <f>3007337+142092</f>
        <v>3149429</v>
      </c>
      <c r="H25" s="103">
        <f>4373+23</f>
        <v>4396</v>
      </c>
      <c r="I25" s="102">
        <f>1048158+106621</f>
        <v>1154779</v>
      </c>
      <c r="J25" s="101">
        <f t="shared" si="0"/>
        <v>6055</v>
      </c>
      <c r="K25" s="100">
        <f t="shared" si="0"/>
        <v>5360911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19342</v>
      </c>
      <c r="E26" s="116">
        <f>'４月'!K26</f>
        <v>6628009</v>
      </c>
      <c r="F26" s="105">
        <v>5815</v>
      </c>
      <c r="G26" s="104">
        <v>1792538</v>
      </c>
      <c r="H26" s="103">
        <v>5641</v>
      </c>
      <c r="I26" s="102">
        <v>933261</v>
      </c>
      <c r="J26" s="101">
        <f t="shared" si="0"/>
        <v>19516</v>
      </c>
      <c r="K26" s="100">
        <f t="shared" si="0"/>
        <v>7487286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2069</v>
      </c>
      <c r="E27" s="116">
        <f>'４月'!K27</f>
        <v>333450</v>
      </c>
      <c r="F27" s="105">
        <v>387</v>
      </c>
      <c r="G27" s="104">
        <v>91350</v>
      </c>
      <c r="H27" s="103">
        <v>369</v>
      </c>
      <c r="I27" s="102">
        <v>89450</v>
      </c>
      <c r="J27" s="101">
        <f t="shared" si="0"/>
        <v>2087</v>
      </c>
      <c r="K27" s="100">
        <f t="shared" si="0"/>
        <v>335350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520</v>
      </c>
      <c r="E28" s="116">
        <f>'４月'!K28</f>
        <v>57200</v>
      </c>
      <c r="F28" s="105">
        <v>860</v>
      </c>
      <c r="G28" s="104">
        <v>94600</v>
      </c>
      <c r="H28" s="103">
        <v>840</v>
      </c>
      <c r="I28" s="102">
        <v>92400</v>
      </c>
      <c r="J28" s="101">
        <f t="shared" si="0"/>
        <v>540</v>
      </c>
      <c r="K28" s="100">
        <f t="shared" si="0"/>
        <v>59400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1085</v>
      </c>
      <c r="E29" s="116">
        <f>'４月'!K29</f>
        <v>346531</v>
      </c>
      <c r="F29" s="74">
        <f>27+82</f>
        <v>109</v>
      </c>
      <c r="G29" s="111">
        <f>5400+64650</f>
        <v>70050</v>
      </c>
      <c r="H29" s="110">
        <f>20+36</f>
        <v>56</v>
      </c>
      <c r="I29" s="109">
        <f>4000+54760</f>
        <v>58760</v>
      </c>
      <c r="J29" s="108">
        <f t="shared" si="0"/>
        <v>1138</v>
      </c>
      <c r="K29" s="107">
        <f t="shared" si="0"/>
        <v>357821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1229</v>
      </c>
      <c r="E30" s="116">
        <f>'４月'!K30</f>
        <v>730401</v>
      </c>
      <c r="F30" s="112">
        <f>363+272</f>
        <v>635</v>
      </c>
      <c r="G30" s="111">
        <f>156570+81326</f>
        <v>237896</v>
      </c>
      <c r="H30" s="110">
        <f>315+324</f>
        <v>639</v>
      </c>
      <c r="I30" s="109">
        <f>185700+116312</f>
        <v>302012</v>
      </c>
      <c r="J30" s="108">
        <f t="shared" si="0"/>
        <v>1225</v>
      </c>
      <c r="K30" s="107">
        <f t="shared" si="0"/>
        <v>666285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27</v>
      </c>
      <c r="E32" s="116">
        <f>'４月'!K32</f>
        <v>19655</v>
      </c>
      <c r="F32" s="112">
        <v>0</v>
      </c>
      <c r="G32" s="111">
        <v>4000</v>
      </c>
      <c r="H32" s="110">
        <v>7</v>
      </c>
      <c r="I32" s="109">
        <v>8455</v>
      </c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24722</v>
      </c>
      <c r="E33" s="116">
        <f>'４月'!K33</f>
        <v>8035788</v>
      </c>
      <c r="F33" s="112">
        <v>19634</v>
      </c>
      <c r="G33" s="111">
        <v>5968195</v>
      </c>
      <c r="H33" s="72">
        <v>17506</v>
      </c>
      <c r="I33" s="109">
        <v>5267258</v>
      </c>
      <c r="J33" s="108">
        <f t="shared" si="0"/>
        <v>26850</v>
      </c>
      <c r="K33" s="107">
        <f t="shared" si="0"/>
        <v>8736725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98689</v>
      </c>
      <c r="E34" s="116">
        <f>'４月'!K34</f>
        <v>7996015</v>
      </c>
      <c r="F34" s="112">
        <f>39650+159</f>
        <v>39809</v>
      </c>
      <c r="G34" s="111">
        <f>6654863+293100</f>
        <v>6947963</v>
      </c>
      <c r="H34" s="110">
        <f>29564+150</f>
        <v>29714</v>
      </c>
      <c r="I34" s="109">
        <f>4616617+294500</f>
        <v>4911117</v>
      </c>
      <c r="J34" s="108">
        <f t="shared" si="0"/>
        <v>108784</v>
      </c>
      <c r="K34" s="107">
        <f t="shared" si="0"/>
        <v>10032861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808</v>
      </c>
      <c r="E35" s="116">
        <f>'４月'!K35</f>
        <v>102585</v>
      </c>
      <c r="F35" s="112">
        <v>632</v>
      </c>
      <c r="G35" s="111">
        <v>79936</v>
      </c>
      <c r="H35" s="110">
        <v>811</v>
      </c>
      <c r="I35" s="109">
        <v>104383</v>
      </c>
      <c r="J35" s="108">
        <f t="shared" si="0"/>
        <v>629</v>
      </c>
      <c r="K35" s="107">
        <f t="shared" si="0"/>
        <v>78138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135</v>
      </c>
      <c r="E36" s="116">
        <f>'４月'!K36</f>
        <v>26960</v>
      </c>
      <c r="F36" s="112">
        <v>0</v>
      </c>
      <c r="G36" s="111">
        <v>0</v>
      </c>
      <c r="H36" s="110">
        <v>77</v>
      </c>
      <c r="I36" s="109">
        <v>15440</v>
      </c>
      <c r="J36" s="108">
        <f t="shared" si="0"/>
        <v>58</v>
      </c>
      <c r="K36" s="107">
        <f t="shared" si="0"/>
        <v>11520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603</v>
      </c>
      <c r="E38" s="116">
        <f>'４月'!K38</f>
        <v>119680</v>
      </c>
      <c r="F38" s="112">
        <v>41</v>
      </c>
      <c r="G38" s="111">
        <v>9280</v>
      </c>
      <c r="H38" s="110">
        <v>76</v>
      </c>
      <c r="I38" s="109">
        <v>14160</v>
      </c>
      <c r="J38" s="108">
        <f t="shared" si="0"/>
        <v>568</v>
      </c>
      <c r="K38" s="107">
        <f t="shared" si="0"/>
        <v>114800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1244</v>
      </c>
      <c r="E39" s="116">
        <f>'４月'!K39</f>
        <v>1368400</v>
      </c>
      <c r="F39" s="112">
        <v>200</v>
      </c>
      <c r="G39" s="111">
        <v>220000</v>
      </c>
      <c r="H39" s="110">
        <v>400</v>
      </c>
      <c r="I39" s="109">
        <v>440000</v>
      </c>
      <c r="J39" s="108">
        <f t="shared" si="0"/>
        <v>1044</v>
      </c>
      <c r="K39" s="107">
        <f t="shared" si="0"/>
        <v>1148400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24237</v>
      </c>
      <c r="E42" s="116">
        <f>'４月'!K42</f>
        <v>2143212</v>
      </c>
      <c r="F42" s="112">
        <v>28448</v>
      </c>
      <c r="G42" s="111">
        <v>8005705</v>
      </c>
      <c r="H42" s="110">
        <v>22768</v>
      </c>
      <c r="I42" s="109">
        <v>6427122</v>
      </c>
      <c r="J42" s="108">
        <f t="shared" si="0"/>
        <v>29917</v>
      </c>
      <c r="K42" s="107">
        <f t="shared" si="0"/>
        <v>3721795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4982</v>
      </c>
      <c r="E43" s="116">
        <f>'４月'!K43</f>
        <v>1625924</v>
      </c>
      <c r="F43" s="112">
        <v>7252</v>
      </c>
      <c r="G43" s="111">
        <v>2439679</v>
      </c>
      <c r="H43" s="110">
        <v>7758</v>
      </c>
      <c r="I43" s="109">
        <v>2610332</v>
      </c>
      <c r="J43" s="108">
        <f t="shared" si="0"/>
        <v>4476</v>
      </c>
      <c r="K43" s="107">
        <f t="shared" si="0"/>
        <v>1455271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19</v>
      </c>
      <c r="E44" s="116">
        <f>'４月'!K44</f>
        <v>113490</v>
      </c>
      <c r="F44" s="112">
        <v>59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6072</v>
      </c>
      <c r="E45" s="116">
        <f>'４月'!K45</f>
        <v>3002599</v>
      </c>
      <c r="F45" s="112">
        <v>1658</v>
      </c>
      <c r="G45" s="137">
        <v>526517</v>
      </c>
      <c r="H45" s="110">
        <v>2146</v>
      </c>
      <c r="I45" s="109">
        <v>582665</v>
      </c>
      <c r="J45" s="108">
        <f t="shared" si="0"/>
        <v>5584</v>
      </c>
      <c r="K45" s="107">
        <f t="shared" si="0"/>
        <v>2946451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5881</v>
      </c>
      <c r="E46" s="116">
        <f>'４月'!K46</f>
        <v>930990</v>
      </c>
      <c r="F46" s="105">
        <v>3876</v>
      </c>
      <c r="G46" s="104">
        <v>703241</v>
      </c>
      <c r="H46" s="103">
        <v>4242</v>
      </c>
      <c r="I46" s="102">
        <v>766671</v>
      </c>
      <c r="J46" s="101">
        <f t="shared" si="0"/>
        <v>5515</v>
      </c>
      <c r="K46" s="100">
        <f t="shared" si="0"/>
        <v>867560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2992</v>
      </c>
      <c r="E47" s="116">
        <f>'４月'!K47</f>
        <v>3995773</v>
      </c>
      <c r="F47" s="105">
        <v>1595</v>
      </c>
      <c r="G47" s="104">
        <v>1048900</v>
      </c>
      <c r="H47" s="103">
        <v>1523</v>
      </c>
      <c r="I47" s="102">
        <v>579262</v>
      </c>
      <c r="J47" s="101">
        <f t="shared" si="0"/>
        <v>3064</v>
      </c>
      <c r="K47" s="100">
        <f t="shared" si="0"/>
        <v>4465411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6511</v>
      </c>
      <c r="E49" s="116">
        <f>'４月'!K49</f>
        <v>2117215</v>
      </c>
      <c r="F49" s="98">
        <v>4160</v>
      </c>
      <c r="G49" s="97">
        <v>1200311</v>
      </c>
      <c r="H49" s="96">
        <v>6300</v>
      </c>
      <c r="I49" s="95">
        <v>1413990</v>
      </c>
      <c r="J49" s="94">
        <f t="shared" si="0"/>
        <v>4371</v>
      </c>
      <c r="K49" s="93">
        <f t="shared" si="0"/>
        <v>1903536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128307</v>
      </c>
      <c r="G50" s="87">
        <f t="shared" si="1"/>
        <v>40228356</v>
      </c>
      <c r="H50" s="89">
        <f t="shared" si="1"/>
        <v>114703</v>
      </c>
      <c r="I50" s="87">
        <f t="shared" si="1"/>
        <v>33042584</v>
      </c>
      <c r="J50" s="88">
        <f t="shared" si="0"/>
        <v>291380</v>
      </c>
      <c r="K50" s="87">
        <f t="shared" si="0"/>
        <v>68457342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4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30495</v>
      </c>
      <c r="E10" s="116">
        <f>'５月'!K10</f>
        <v>7830989</v>
      </c>
      <c r="F10" s="119">
        <v>3639</v>
      </c>
      <c r="G10" s="118">
        <v>494518</v>
      </c>
      <c r="H10" s="117">
        <v>4004</v>
      </c>
      <c r="I10" s="116">
        <v>971913</v>
      </c>
      <c r="J10" s="115">
        <f aca="true" t="shared" si="0" ref="J10:K50">D10+F10-H10</f>
        <v>30130</v>
      </c>
      <c r="K10" s="114">
        <f t="shared" si="0"/>
        <v>7353594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608</v>
      </c>
      <c r="E11" s="116">
        <f>'５月'!K11</f>
        <v>44530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3781</v>
      </c>
      <c r="E13" s="116">
        <f>'５月'!K13</f>
        <v>902532</v>
      </c>
      <c r="F13" s="105">
        <v>1158</v>
      </c>
      <c r="G13" s="104">
        <v>318616</v>
      </c>
      <c r="H13" s="103">
        <v>864</v>
      </c>
      <c r="I13" s="102">
        <v>205136</v>
      </c>
      <c r="J13" s="101">
        <f t="shared" si="0"/>
        <v>4075</v>
      </c>
      <c r="K13" s="100">
        <f t="shared" si="0"/>
        <v>1016012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1363</v>
      </c>
      <c r="E17" s="116">
        <f>'５月'!K17</f>
        <v>4089000</v>
      </c>
      <c r="F17" s="105">
        <v>1306</v>
      </c>
      <c r="G17" s="104">
        <v>3918000</v>
      </c>
      <c r="H17" s="103">
        <v>1634</v>
      </c>
      <c r="I17" s="102">
        <v>4902000</v>
      </c>
      <c r="J17" s="101">
        <f t="shared" si="0"/>
        <v>1035</v>
      </c>
      <c r="K17" s="100">
        <f t="shared" si="0"/>
        <v>3105000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44</v>
      </c>
      <c r="E18" s="116">
        <f>'５月'!K18</f>
        <v>6315</v>
      </c>
      <c r="F18" s="105">
        <v>72</v>
      </c>
      <c r="G18" s="104">
        <v>6840</v>
      </c>
      <c r="H18" s="103">
        <v>70</v>
      </c>
      <c r="I18" s="102">
        <v>6880</v>
      </c>
      <c r="J18" s="101">
        <f t="shared" si="0"/>
        <v>46</v>
      </c>
      <c r="K18" s="100">
        <f t="shared" si="0"/>
        <v>6275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5123</v>
      </c>
      <c r="E22" s="116">
        <f>'５月'!K22</f>
        <v>737040</v>
      </c>
      <c r="F22" s="105">
        <v>1921</v>
      </c>
      <c r="G22" s="104">
        <v>257280</v>
      </c>
      <c r="H22" s="103">
        <v>2381</v>
      </c>
      <c r="I22" s="102">
        <v>332580</v>
      </c>
      <c r="J22" s="101">
        <f t="shared" si="0"/>
        <v>4663</v>
      </c>
      <c r="K22" s="100">
        <f t="shared" si="0"/>
        <v>661740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2845</v>
      </c>
      <c r="E23" s="116">
        <f>'５月'!K23</f>
        <v>1898202</v>
      </c>
      <c r="F23" s="112">
        <v>1454</v>
      </c>
      <c r="G23" s="111">
        <v>2257850</v>
      </c>
      <c r="H23" s="110">
        <v>1309</v>
      </c>
      <c r="I23" s="109">
        <v>1963956</v>
      </c>
      <c r="J23" s="108">
        <f t="shared" si="0"/>
        <v>2990</v>
      </c>
      <c r="K23" s="107">
        <f t="shared" si="0"/>
        <v>2192096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25603</v>
      </c>
      <c r="E24" s="116">
        <f>'５月'!K24</f>
        <v>3070523</v>
      </c>
      <c r="F24" s="105">
        <v>1185</v>
      </c>
      <c r="G24" s="104">
        <v>741375</v>
      </c>
      <c r="H24" s="103">
        <v>1173</v>
      </c>
      <c r="I24" s="102">
        <v>718126</v>
      </c>
      <c r="J24" s="101">
        <f t="shared" si="0"/>
        <v>25615</v>
      </c>
      <c r="K24" s="100">
        <f t="shared" si="0"/>
        <v>3093772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6055</v>
      </c>
      <c r="E25" s="116">
        <f>'５月'!K25</f>
        <v>5360911</v>
      </c>
      <c r="F25" s="105">
        <f>6719+30</f>
        <v>6749</v>
      </c>
      <c r="G25" s="104">
        <f>1590645+127511</f>
        <v>1718156</v>
      </c>
      <c r="H25" s="103">
        <f>4692+38</f>
        <v>4730</v>
      </c>
      <c r="I25" s="102">
        <f>1061392+179891</f>
        <v>1241283</v>
      </c>
      <c r="J25" s="101">
        <f t="shared" si="0"/>
        <v>8074</v>
      </c>
      <c r="K25" s="100">
        <f t="shared" si="0"/>
        <v>5837784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19516</v>
      </c>
      <c r="E26" s="116">
        <f>'５月'!K26</f>
        <v>7487286</v>
      </c>
      <c r="F26" s="105">
        <v>6695</v>
      </c>
      <c r="G26" s="104">
        <v>1887813</v>
      </c>
      <c r="H26" s="103">
        <v>6984</v>
      </c>
      <c r="I26" s="102">
        <v>1395338</v>
      </c>
      <c r="J26" s="101">
        <f t="shared" si="0"/>
        <v>19227</v>
      </c>
      <c r="K26" s="100">
        <f t="shared" si="0"/>
        <v>7979761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2087</v>
      </c>
      <c r="E27" s="116">
        <f>'５月'!K27</f>
        <v>335350</v>
      </c>
      <c r="F27" s="105">
        <v>428</v>
      </c>
      <c r="G27" s="104">
        <v>98050</v>
      </c>
      <c r="H27" s="103">
        <v>412</v>
      </c>
      <c r="I27" s="102">
        <v>96200</v>
      </c>
      <c r="J27" s="101">
        <f t="shared" si="0"/>
        <v>2103</v>
      </c>
      <c r="K27" s="100">
        <f t="shared" si="0"/>
        <v>337200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540</v>
      </c>
      <c r="E28" s="116">
        <f>'５月'!K28</f>
        <v>59400</v>
      </c>
      <c r="F28" s="105">
        <v>980</v>
      </c>
      <c r="G28" s="104">
        <v>107800</v>
      </c>
      <c r="H28" s="103">
        <v>970</v>
      </c>
      <c r="I28" s="102">
        <v>106700</v>
      </c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1138</v>
      </c>
      <c r="E29" s="116">
        <f>'５月'!K29</f>
        <v>357821</v>
      </c>
      <c r="F29" s="74">
        <f>22+30</f>
        <v>52</v>
      </c>
      <c r="G29" s="111">
        <f>4400+57450</f>
        <v>61850</v>
      </c>
      <c r="H29" s="110">
        <f>20+65</f>
        <v>85</v>
      </c>
      <c r="I29" s="109">
        <f>4000+65840</f>
        <v>69840</v>
      </c>
      <c r="J29" s="108">
        <f t="shared" si="0"/>
        <v>1105</v>
      </c>
      <c r="K29" s="107">
        <f t="shared" si="0"/>
        <v>349831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1225</v>
      </c>
      <c r="E30" s="116">
        <f>'５月'!K30</f>
        <v>666285</v>
      </c>
      <c r="F30" s="112">
        <f>332+339</f>
        <v>671</v>
      </c>
      <c r="G30" s="111">
        <f>153690+81663</f>
        <v>235353</v>
      </c>
      <c r="H30" s="110">
        <f>371+379</f>
        <v>750</v>
      </c>
      <c r="I30" s="109">
        <f>182520+134200</f>
        <v>316720</v>
      </c>
      <c r="J30" s="108">
        <f t="shared" si="0"/>
        <v>1146</v>
      </c>
      <c r="K30" s="107">
        <f t="shared" si="0"/>
        <v>584918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20</v>
      </c>
      <c r="E32" s="116">
        <f>'５月'!K32</f>
        <v>15200</v>
      </c>
      <c r="F32" s="112">
        <v>7</v>
      </c>
      <c r="G32" s="111">
        <v>8498</v>
      </c>
      <c r="H32" s="110">
        <v>7</v>
      </c>
      <c r="I32" s="109">
        <v>7698</v>
      </c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26850</v>
      </c>
      <c r="E33" s="116">
        <f>'５月'!K33</f>
        <v>8736725</v>
      </c>
      <c r="F33" s="112">
        <v>17867</v>
      </c>
      <c r="G33" s="111">
        <v>5419645</v>
      </c>
      <c r="H33" s="72">
        <v>17702</v>
      </c>
      <c r="I33" s="109">
        <v>5350769</v>
      </c>
      <c r="J33" s="108">
        <f t="shared" si="0"/>
        <v>27015</v>
      </c>
      <c r="K33" s="107">
        <f t="shared" si="0"/>
        <v>8805601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108784</v>
      </c>
      <c r="E34" s="116">
        <f>'５月'!K34</f>
        <v>10032861</v>
      </c>
      <c r="F34" s="112">
        <f>19619+130</f>
        <v>19749</v>
      </c>
      <c r="G34" s="111">
        <f>3396217+292800</f>
        <v>3689017</v>
      </c>
      <c r="H34" s="110">
        <f>33155+141</f>
        <v>33296</v>
      </c>
      <c r="I34" s="109">
        <f>4885341+296400</f>
        <v>5181741</v>
      </c>
      <c r="J34" s="108">
        <f t="shared" si="0"/>
        <v>95237</v>
      </c>
      <c r="K34" s="107">
        <f t="shared" si="0"/>
        <v>8540137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629</v>
      </c>
      <c r="E35" s="116">
        <f>'５月'!K35</f>
        <v>78138</v>
      </c>
      <c r="F35" s="112">
        <v>786</v>
      </c>
      <c r="G35" s="111">
        <v>97783</v>
      </c>
      <c r="H35" s="110">
        <v>861</v>
      </c>
      <c r="I35" s="109">
        <v>109494</v>
      </c>
      <c r="J35" s="108">
        <f t="shared" si="0"/>
        <v>554</v>
      </c>
      <c r="K35" s="107">
        <f t="shared" si="0"/>
        <v>66427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58</v>
      </c>
      <c r="E36" s="116">
        <f>'５月'!K36</f>
        <v>11520</v>
      </c>
      <c r="F36" s="112">
        <v>117</v>
      </c>
      <c r="G36" s="111">
        <v>23520</v>
      </c>
      <c r="H36" s="110">
        <v>43</v>
      </c>
      <c r="I36" s="109">
        <v>9000</v>
      </c>
      <c r="J36" s="108">
        <f t="shared" si="0"/>
        <v>132</v>
      </c>
      <c r="K36" s="107">
        <f t="shared" si="0"/>
        <v>26040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568</v>
      </c>
      <c r="E38" s="116">
        <f>'５月'!K38</f>
        <v>114800</v>
      </c>
      <c r="F38" s="112">
        <v>95</v>
      </c>
      <c r="G38" s="111">
        <v>18641</v>
      </c>
      <c r="H38" s="110">
        <v>59</v>
      </c>
      <c r="I38" s="109">
        <v>12321</v>
      </c>
      <c r="J38" s="108">
        <f t="shared" si="0"/>
        <v>604</v>
      </c>
      <c r="K38" s="107">
        <f t="shared" si="0"/>
        <v>121120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1044</v>
      </c>
      <c r="E39" s="116">
        <f>'５月'!K39</f>
        <v>1148400</v>
      </c>
      <c r="F39" s="112">
        <v>280</v>
      </c>
      <c r="G39" s="111">
        <v>308000</v>
      </c>
      <c r="H39" s="110">
        <v>220</v>
      </c>
      <c r="I39" s="109">
        <v>242000</v>
      </c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29917</v>
      </c>
      <c r="E42" s="116">
        <f>'５月'!K42</f>
        <v>3721795</v>
      </c>
      <c r="F42" s="112">
        <v>29689</v>
      </c>
      <c r="G42" s="111">
        <v>8498327</v>
      </c>
      <c r="H42" s="110">
        <v>28102</v>
      </c>
      <c r="I42" s="109">
        <v>7933737</v>
      </c>
      <c r="J42" s="108">
        <f t="shared" si="0"/>
        <v>31504</v>
      </c>
      <c r="K42" s="107">
        <f t="shared" si="0"/>
        <v>4286385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4476</v>
      </c>
      <c r="E43" s="116">
        <f>'５月'!K43</f>
        <v>1455271</v>
      </c>
      <c r="F43" s="112">
        <v>7914</v>
      </c>
      <c r="G43" s="111">
        <v>2487926</v>
      </c>
      <c r="H43" s="110">
        <v>7804</v>
      </c>
      <c r="I43" s="109">
        <v>2476262</v>
      </c>
      <c r="J43" s="108">
        <f t="shared" si="0"/>
        <v>4586</v>
      </c>
      <c r="K43" s="107">
        <f t="shared" si="0"/>
        <v>1466935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77</v>
      </c>
      <c r="E44" s="116">
        <f>'５月'!K44</f>
        <v>113490</v>
      </c>
      <c r="F44" s="112">
        <v>2</v>
      </c>
      <c r="G44" s="111">
        <v>1620</v>
      </c>
      <c r="H44" s="110">
        <v>2</v>
      </c>
      <c r="I44" s="109">
        <v>1650</v>
      </c>
      <c r="J44" s="108">
        <f t="shared" si="0"/>
        <v>77</v>
      </c>
      <c r="K44" s="107">
        <f t="shared" si="0"/>
        <v>113460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5584</v>
      </c>
      <c r="E45" s="116">
        <f>'５月'!K45</f>
        <v>2946451</v>
      </c>
      <c r="F45" s="112">
        <v>2270</v>
      </c>
      <c r="G45" s="111">
        <v>480482</v>
      </c>
      <c r="H45" s="110">
        <v>2167</v>
      </c>
      <c r="I45" s="109">
        <v>541508</v>
      </c>
      <c r="J45" s="108">
        <f t="shared" si="0"/>
        <v>5687</v>
      </c>
      <c r="K45" s="107">
        <f t="shared" si="0"/>
        <v>2885425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5515</v>
      </c>
      <c r="E46" s="116">
        <f>'５月'!K46</f>
        <v>867560</v>
      </c>
      <c r="F46" s="105">
        <v>3905</v>
      </c>
      <c r="G46" s="104">
        <v>699300</v>
      </c>
      <c r="H46" s="103">
        <v>2633</v>
      </c>
      <c r="I46" s="102">
        <v>467037</v>
      </c>
      <c r="J46" s="101">
        <f t="shared" si="0"/>
        <v>6787</v>
      </c>
      <c r="K46" s="100">
        <f t="shared" si="0"/>
        <v>1099823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3064</v>
      </c>
      <c r="E47" s="116">
        <f>'５月'!K47</f>
        <v>4465411</v>
      </c>
      <c r="F47" s="105">
        <v>1823</v>
      </c>
      <c r="G47" s="104">
        <v>783143</v>
      </c>
      <c r="H47" s="103">
        <f>1778+8</f>
        <v>1786</v>
      </c>
      <c r="I47" s="102">
        <f>1625407+19000</f>
        <v>1644407</v>
      </c>
      <c r="J47" s="101">
        <f t="shared" si="0"/>
        <v>3101</v>
      </c>
      <c r="K47" s="100">
        <f t="shared" si="0"/>
        <v>3604147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4371</v>
      </c>
      <c r="E49" s="116">
        <f>'５月'!K49</f>
        <v>1903536</v>
      </c>
      <c r="F49" s="98">
        <v>5026</v>
      </c>
      <c r="G49" s="97">
        <v>1410126</v>
      </c>
      <c r="H49" s="96">
        <v>4946</v>
      </c>
      <c r="I49" s="95">
        <v>1469235</v>
      </c>
      <c r="J49" s="94">
        <f t="shared" si="0"/>
        <v>4451</v>
      </c>
      <c r="K49" s="93">
        <f t="shared" si="0"/>
        <v>1844427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291380</v>
      </c>
      <c r="E50" s="90">
        <f t="shared" si="1"/>
        <v>68457342</v>
      </c>
      <c r="F50" s="89">
        <f t="shared" si="1"/>
        <v>115840</v>
      </c>
      <c r="G50" s="87">
        <f t="shared" si="1"/>
        <v>36029529</v>
      </c>
      <c r="H50" s="89">
        <f t="shared" si="1"/>
        <v>124994</v>
      </c>
      <c r="I50" s="87">
        <f t="shared" si="1"/>
        <v>37773531</v>
      </c>
      <c r="J50" s="88">
        <f t="shared" si="0"/>
        <v>282226</v>
      </c>
      <c r="K50" s="87">
        <f t="shared" si="0"/>
        <v>66713340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25" sqref="F25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30130</v>
      </c>
      <c r="E10" s="116">
        <f>'６月'!K10</f>
        <v>7353594</v>
      </c>
      <c r="F10" s="119">
        <v>1538</v>
      </c>
      <c r="G10" s="118">
        <v>185429</v>
      </c>
      <c r="H10" s="117">
        <v>3581</v>
      </c>
      <c r="I10" s="116">
        <v>607530</v>
      </c>
      <c r="J10" s="115">
        <f aca="true" t="shared" si="0" ref="J10:K50">D10+F10-H10</f>
        <v>28087</v>
      </c>
      <c r="K10" s="114">
        <f t="shared" si="0"/>
        <v>6931493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608</v>
      </c>
      <c r="E11" s="116">
        <f>'６月'!K11</f>
        <v>44530</v>
      </c>
      <c r="F11" s="105">
        <v>600</v>
      </c>
      <c r="G11" s="104">
        <v>90000</v>
      </c>
      <c r="H11" s="103">
        <v>180</v>
      </c>
      <c r="I11" s="102">
        <v>27000</v>
      </c>
      <c r="J11" s="101">
        <f t="shared" si="0"/>
        <v>1028</v>
      </c>
      <c r="K11" s="100">
        <f t="shared" si="0"/>
        <v>107530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4075</v>
      </c>
      <c r="E13" s="116">
        <f>'６月'!K13</f>
        <v>1016012</v>
      </c>
      <c r="F13" s="105">
        <v>643</v>
      </c>
      <c r="G13" s="104">
        <v>162650</v>
      </c>
      <c r="H13" s="103">
        <v>557</v>
      </c>
      <c r="I13" s="102">
        <v>132364</v>
      </c>
      <c r="J13" s="101">
        <f t="shared" si="0"/>
        <v>4161</v>
      </c>
      <c r="K13" s="100">
        <f t="shared" si="0"/>
        <v>1046298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1035</v>
      </c>
      <c r="E17" s="116">
        <f>'６月'!K17</f>
        <v>3105000</v>
      </c>
      <c r="F17" s="105">
        <v>1535</v>
      </c>
      <c r="G17" s="104">
        <v>4554451</v>
      </c>
      <c r="H17" s="103">
        <v>1062</v>
      </c>
      <c r="I17" s="102">
        <v>3186000</v>
      </c>
      <c r="J17" s="101">
        <f t="shared" si="0"/>
        <v>1508</v>
      </c>
      <c r="K17" s="100">
        <f t="shared" si="0"/>
        <v>4473451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46</v>
      </c>
      <c r="E18" s="116">
        <f>'６月'!K18</f>
        <v>6275</v>
      </c>
      <c r="F18" s="105">
        <v>72</v>
      </c>
      <c r="G18" s="104">
        <v>6840</v>
      </c>
      <c r="H18" s="103">
        <v>63</v>
      </c>
      <c r="I18" s="102">
        <v>6605</v>
      </c>
      <c r="J18" s="101">
        <f t="shared" si="0"/>
        <v>55</v>
      </c>
      <c r="K18" s="100">
        <f t="shared" si="0"/>
        <v>6510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4663</v>
      </c>
      <c r="E22" s="116">
        <f>'６月'!K22</f>
        <v>661740</v>
      </c>
      <c r="F22" s="105">
        <v>2876</v>
      </c>
      <c r="G22" s="104">
        <v>353800</v>
      </c>
      <c r="H22" s="103">
        <v>2201</v>
      </c>
      <c r="I22" s="102">
        <v>287200</v>
      </c>
      <c r="J22" s="101">
        <f t="shared" si="0"/>
        <v>5338</v>
      </c>
      <c r="K22" s="100">
        <f t="shared" si="0"/>
        <v>728340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2990</v>
      </c>
      <c r="E23" s="116">
        <f>'６月'!K23</f>
        <v>2192096</v>
      </c>
      <c r="F23" s="112">
        <v>1070</v>
      </c>
      <c r="G23" s="111">
        <v>1674900</v>
      </c>
      <c r="H23" s="110">
        <v>1261</v>
      </c>
      <c r="I23" s="109">
        <v>2000492</v>
      </c>
      <c r="J23" s="108">
        <f t="shared" si="0"/>
        <v>2799</v>
      </c>
      <c r="K23" s="107">
        <f t="shared" si="0"/>
        <v>1866504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25615</v>
      </c>
      <c r="E24" s="116">
        <f>'６月'!K24</f>
        <v>3093772</v>
      </c>
      <c r="F24" s="105">
        <v>1125</v>
      </c>
      <c r="G24" s="104">
        <v>480388</v>
      </c>
      <c r="H24" s="103">
        <v>1165</v>
      </c>
      <c r="I24" s="102">
        <v>549590</v>
      </c>
      <c r="J24" s="101">
        <f t="shared" si="0"/>
        <v>25575</v>
      </c>
      <c r="K24" s="100">
        <f t="shared" si="0"/>
        <v>3024570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8074</v>
      </c>
      <c r="E25" s="116">
        <f>'６月'!K25</f>
        <v>5837784</v>
      </c>
      <c r="F25" s="105">
        <f>6257+13</f>
        <v>6270</v>
      </c>
      <c r="G25" s="104">
        <f>1501121+37308</f>
        <v>1538429</v>
      </c>
      <c r="H25" s="103">
        <f>5552+22</f>
        <v>5574</v>
      </c>
      <c r="I25" s="102">
        <f>1314363+100840</f>
        <v>1415203</v>
      </c>
      <c r="J25" s="101">
        <f t="shared" si="0"/>
        <v>8770</v>
      </c>
      <c r="K25" s="100">
        <f t="shared" si="0"/>
        <v>5961010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19227</v>
      </c>
      <c r="E26" s="116">
        <f>'６月'!K26</f>
        <v>7979761</v>
      </c>
      <c r="F26" s="105">
        <v>7449</v>
      </c>
      <c r="G26" s="104">
        <v>1375209</v>
      </c>
      <c r="H26" s="103">
        <v>6885</v>
      </c>
      <c r="I26" s="102">
        <v>1261264</v>
      </c>
      <c r="J26" s="101">
        <f t="shared" si="0"/>
        <v>19791</v>
      </c>
      <c r="K26" s="100">
        <f t="shared" si="0"/>
        <v>8093706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2103</v>
      </c>
      <c r="E27" s="116">
        <f>'６月'!K27</f>
        <v>337200</v>
      </c>
      <c r="F27" s="105">
        <v>343</v>
      </c>
      <c r="G27" s="104">
        <v>93150</v>
      </c>
      <c r="H27" s="103">
        <v>320</v>
      </c>
      <c r="I27" s="102">
        <v>85800</v>
      </c>
      <c r="J27" s="101">
        <f t="shared" si="0"/>
        <v>2126</v>
      </c>
      <c r="K27" s="100">
        <f t="shared" si="0"/>
        <v>344550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550</v>
      </c>
      <c r="E28" s="116">
        <f>'６月'!K28</f>
        <v>60500</v>
      </c>
      <c r="F28" s="105">
        <v>920</v>
      </c>
      <c r="G28" s="104">
        <v>101200</v>
      </c>
      <c r="H28" s="103">
        <v>770</v>
      </c>
      <c r="I28" s="102">
        <v>84700</v>
      </c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1105</v>
      </c>
      <c r="E29" s="116">
        <f>'６月'!K29</f>
        <v>349831</v>
      </c>
      <c r="F29" s="74">
        <f>22+30</f>
        <v>52</v>
      </c>
      <c r="G29" s="111">
        <f>4400+57450</f>
        <v>61850</v>
      </c>
      <c r="H29" s="110">
        <f>24+58</f>
        <v>82</v>
      </c>
      <c r="I29" s="109">
        <f>4800+63145</f>
        <v>67945</v>
      </c>
      <c r="J29" s="108">
        <f t="shared" si="0"/>
        <v>1075</v>
      </c>
      <c r="K29" s="107">
        <f t="shared" si="0"/>
        <v>343736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1146</v>
      </c>
      <c r="E30" s="116">
        <f>'６月'!K30</f>
        <v>584918</v>
      </c>
      <c r="F30" s="112">
        <f>481+291</f>
        <v>772</v>
      </c>
      <c r="G30" s="111">
        <f>221370+77636</f>
        <v>299006</v>
      </c>
      <c r="H30" s="110">
        <f>433+202</f>
        <v>635</v>
      </c>
      <c r="I30" s="109">
        <f>245010+32747</f>
        <v>277757</v>
      </c>
      <c r="J30" s="108">
        <f t="shared" si="0"/>
        <v>1283</v>
      </c>
      <c r="K30" s="107">
        <f t="shared" si="0"/>
        <v>606167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20</v>
      </c>
      <c r="E32" s="116">
        <f>'６月'!K32</f>
        <v>16000</v>
      </c>
      <c r="F32" s="112">
        <v>6</v>
      </c>
      <c r="G32" s="111">
        <v>11417</v>
      </c>
      <c r="H32" s="110">
        <v>6</v>
      </c>
      <c r="I32" s="109">
        <v>5017</v>
      </c>
      <c r="J32" s="108">
        <f t="shared" si="0"/>
        <v>20</v>
      </c>
      <c r="K32" s="107">
        <f t="shared" si="0"/>
        <v>22400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27015</v>
      </c>
      <c r="E33" s="116">
        <f>'６月'!K33</f>
        <v>8805601</v>
      </c>
      <c r="F33" s="112">
        <v>17585</v>
      </c>
      <c r="G33" s="111">
        <v>5386360</v>
      </c>
      <c r="H33" s="72">
        <v>18636</v>
      </c>
      <c r="I33" s="109">
        <v>5836518</v>
      </c>
      <c r="J33" s="108">
        <f t="shared" si="0"/>
        <v>25964</v>
      </c>
      <c r="K33" s="107">
        <f t="shared" si="0"/>
        <v>8355443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95237</v>
      </c>
      <c r="E34" s="116">
        <f>'６月'!K34</f>
        <v>8540137</v>
      </c>
      <c r="F34" s="112">
        <f>25145+143</f>
        <v>25288</v>
      </c>
      <c r="G34" s="111">
        <f>4910855+302900</f>
        <v>5213755</v>
      </c>
      <c r="H34" s="110">
        <f>25513+162</f>
        <v>25675</v>
      </c>
      <c r="I34" s="109">
        <f>4905856+301600</f>
        <v>5207456</v>
      </c>
      <c r="J34" s="108">
        <f t="shared" si="0"/>
        <v>94850</v>
      </c>
      <c r="K34" s="107">
        <f t="shared" si="0"/>
        <v>8546436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554</v>
      </c>
      <c r="E35" s="116">
        <f>'６月'!K35</f>
        <v>66427</v>
      </c>
      <c r="F35" s="112">
        <v>1022</v>
      </c>
      <c r="G35" s="111">
        <v>129626</v>
      </c>
      <c r="H35" s="110">
        <v>846</v>
      </c>
      <c r="I35" s="109">
        <v>104503</v>
      </c>
      <c r="J35" s="108">
        <f t="shared" si="0"/>
        <v>730</v>
      </c>
      <c r="K35" s="107">
        <f t="shared" si="0"/>
        <v>91550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132</v>
      </c>
      <c r="E36" s="116">
        <f>'６月'!K36</f>
        <v>26040</v>
      </c>
      <c r="F36" s="112">
        <v>110</v>
      </c>
      <c r="G36" s="111">
        <v>22040</v>
      </c>
      <c r="H36" s="110">
        <v>111</v>
      </c>
      <c r="I36" s="109">
        <v>22480</v>
      </c>
      <c r="J36" s="108">
        <f t="shared" si="0"/>
        <v>131</v>
      </c>
      <c r="K36" s="107">
        <f t="shared" si="0"/>
        <v>25600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604</v>
      </c>
      <c r="E38" s="116">
        <f>'６月'!K38</f>
        <v>121120</v>
      </c>
      <c r="F38" s="112">
        <v>76</v>
      </c>
      <c r="G38" s="111">
        <v>14401</v>
      </c>
      <c r="H38" s="110">
        <v>150</v>
      </c>
      <c r="I38" s="109">
        <v>30481</v>
      </c>
      <c r="J38" s="108">
        <f t="shared" si="0"/>
        <v>530</v>
      </c>
      <c r="K38" s="107">
        <f t="shared" si="0"/>
        <v>105040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1104</v>
      </c>
      <c r="E39" s="116">
        <f>'６月'!K39</f>
        <v>1214400</v>
      </c>
      <c r="F39" s="112">
        <v>260</v>
      </c>
      <c r="G39" s="111">
        <v>286000</v>
      </c>
      <c r="H39" s="110">
        <v>200</v>
      </c>
      <c r="I39" s="109">
        <v>220000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31504</v>
      </c>
      <c r="E42" s="116">
        <f>'６月'!K42</f>
        <v>4286385</v>
      </c>
      <c r="F42" s="112">
        <v>31512</v>
      </c>
      <c r="G42" s="111">
        <v>8807858</v>
      </c>
      <c r="H42" s="110">
        <v>32415</v>
      </c>
      <c r="I42" s="109">
        <v>9104396</v>
      </c>
      <c r="J42" s="108">
        <f t="shared" si="0"/>
        <v>30601</v>
      </c>
      <c r="K42" s="107">
        <f t="shared" si="0"/>
        <v>3989847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4586</v>
      </c>
      <c r="E43" s="116">
        <f>'６月'!K43</f>
        <v>1466935</v>
      </c>
      <c r="F43" s="112">
        <v>7783</v>
      </c>
      <c r="G43" s="111">
        <v>2445537</v>
      </c>
      <c r="H43" s="110">
        <v>7489</v>
      </c>
      <c r="I43" s="109">
        <v>2367284</v>
      </c>
      <c r="J43" s="108">
        <f t="shared" si="0"/>
        <v>4880</v>
      </c>
      <c r="K43" s="107">
        <f t="shared" si="0"/>
        <v>1545188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77</v>
      </c>
      <c r="E44" s="116">
        <f>'６月'!K44</f>
        <v>113460</v>
      </c>
      <c r="F44" s="112">
        <v>2</v>
      </c>
      <c r="G44" s="111">
        <v>1591</v>
      </c>
      <c r="H44" s="110">
        <v>2</v>
      </c>
      <c r="I44" s="109">
        <v>1501</v>
      </c>
      <c r="J44" s="108">
        <f t="shared" si="0"/>
        <v>77</v>
      </c>
      <c r="K44" s="107">
        <f t="shared" si="0"/>
        <v>113550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5687</v>
      </c>
      <c r="E45" s="116">
        <f>'６月'!K45</f>
        <v>2885425</v>
      </c>
      <c r="F45" s="112">
        <v>2956</v>
      </c>
      <c r="G45" s="111">
        <v>509055</v>
      </c>
      <c r="H45" s="110">
        <v>2281</v>
      </c>
      <c r="I45" s="109">
        <v>556889</v>
      </c>
      <c r="J45" s="108">
        <f t="shared" si="0"/>
        <v>6362</v>
      </c>
      <c r="K45" s="107">
        <f t="shared" si="0"/>
        <v>2837591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6787</v>
      </c>
      <c r="E46" s="116">
        <f>'６月'!K46</f>
        <v>1099823</v>
      </c>
      <c r="F46" s="105">
        <v>3349</v>
      </c>
      <c r="G46" s="104">
        <v>584183</v>
      </c>
      <c r="H46" s="103">
        <v>2550</v>
      </c>
      <c r="I46" s="102">
        <v>452327</v>
      </c>
      <c r="J46" s="101">
        <f t="shared" si="0"/>
        <v>7586</v>
      </c>
      <c r="K46" s="100">
        <f t="shared" si="0"/>
        <v>1231679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3101</v>
      </c>
      <c r="E47" s="116">
        <f>'６月'!K47</f>
        <v>3604147</v>
      </c>
      <c r="F47" s="105">
        <f>2059+7</f>
        <v>2066</v>
      </c>
      <c r="G47" s="104">
        <f>5969340+20000</f>
        <v>5989340</v>
      </c>
      <c r="H47" s="103">
        <f>1975+29</f>
        <v>2004</v>
      </c>
      <c r="I47" s="102">
        <f>5629300+75000</f>
        <v>5704300</v>
      </c>
      <c r="J47" s="101">
        <f t="shared" si="0"/>
        <v>3163</v>
      </c>
      <c r="K47" s="100">
        <f t="shared" si="0"/>
        <v>3889187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4451</v>
      </c>
      <c r="E49" s="116">
        <f>'６月'!K49</f>
        <v>1844427</v>
      </c>
      <c r="F49" s="98">
        <v>4235</v>
      </c>
      <c r="G49" s="97">
        <v>1141302</v>
      </c>
      <c r="H49" s="96">
        <v>4498</v>
      </c>
      <c r="I49" s="95">
        <v>1303179</v>
      </c>
      <c r="J49" s="94">
        <f t="shared" si="0"/>
        <v>4188</v>
      </c>
      <c r="K49" s="93">
        <f t="shared" si="0"/>
        <v>1682550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282226</v>
      </c>
      <c r="E50" s="90">
        <f t="shared" si="1"/>
        <v>66713340</v>
      </c>
      <c r="F50" s="89">
        <f t="shared" si="1"/>
        <v>121515</v>
      </c>
      <c r="G50" s="87">
        <f t="shared" si="1"/>
        <v>41519767</v>
      </c>
      <c r="H50" s="89">
        <f t="shared" si="1"/>
        <v>121199</v>
      </c>
      <c r="I50" s="87">
        <f t="shared" si="1"/>
        <v>40905781</v>
      </c>
      <c r="J50" s="88">
        <f t="shared" si="0"/>
        <v>282542</v>
      </c>
      <c r="K50" s="87">
        <f t="shared" si="0"/>
        <v>67327326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28087</v>
      </c>
      <c r="E10" s="116">
        <f>'７月'!K10</f>
        <v>6931493</v>
      </c>
      <c r="F10" s="119">
        <v>1907</v>
      </c>
      <c r="G10" s="118">
        <v>267574</v>
      </c>
      <c r="H10" s="117">
        <v>2780</v>
      </c>
      <c r="I10" s="116">
        <v>442631</v>
      </c>
      <c r="J10" s="115">
        <f aca="true" t="shared" si="0" ref="J10:K50">D10+F10-H10</f>
        <v>27214</v>
      </c>
      <c r="K10" s="114">
        <f t="shared" si="0"/>
        <v>6756436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1028</v>
      </c>
      <c r="E11" s="116">
        <f>'７月'!K11</f>
        <v>107530</v>
      </c>
      <c r="F11" s="105">
        <v>175</v>
      </c>
      <c r="G11" s="104">
        <v>26250</v>
      </c>
      <c r="H11" s="103">
        <v>39</v>
      </c>
      <c r="I11" s="102">
        <v>2950</v>
      </c>
      <c r="J11" s="101">
        <f t="shared" si="0"/>
        <v>1164</v>
      </c>
      <c r="K11" s="100">
        <f t="shared" si="0"/>
        <v>130830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>
        <v>149</v>
      </c>
      <c r="G12" s="104">
        <v>19790</v>
      </c>
      <c r="H12" s="103">
        <v>0</v>
      </c>
      <c r="I12" s="102">
        <v>0</v>
      </c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4161</v>
      </c>
      <c r="E13" s="116">
        <f>'７月'!K13</f>
        <v>1046298</v>
      </c>
      <c r="F13" s="105">
        <v>641</v>
      </c>
      <c r="G13" s="104">
        <v>174000</v>
      </c>
      <c r="H13" s="103">
        <v>648</v>
      </c>
      <c r="I13" s="102">
        <v>156621</v>
      </c>
      <c r="J13" s="101">
        <f t="shared" si="0"/>
        <v>4154</v>
      </c>
      <c r="K13" s="100">
        <f t="shared" si="0"/>
        <v>1063677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1508</v>
      </c>
      <c r="E17" s="116">
        <f>'７月'!K17</f>
        <v>4473451</v>
      </c>
      <c r="F17" s="105">
        <v>738</v>
      </c>
      <c r="G17" s="104">
        <v>2351523</v>
      </c>
      <c r="H17" s="103">
        <v>1047</v>
      </c>
      <c r="I17" s="102">
        <v>3223162</v>
      </c>
      <c r="J17" s="101">
        <f t="shared" si="0"/>
        <v>1199</v>
      </c>
      <c r="K17" s="100">
        <f t="shared" si="0"/>
        <v>3601812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55</v>
      </c>
      <c r="E18" s="116">
        <f>'７月'!K18</f>
        <v>6510</v>
      </c>
      <c r="F18" s="105">
        <v>48</v>
      </c>
      <c r="G18" s="104">
        <v>4560</v>
      </c>
      <c r="H18" s="103">
        <v>65</v>
      </c>
      <c r="I18" s="102">
        <v>6820</v>
      </c>
      <c r="J18" s="101">
        <f t="shared" si="0"/>
        <v>38</v>
      </c>
      <c r="K18" s="100">
        <f t="shared" si="0"/>
        <v>4250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5338</v>
      </c>
      <c r="E22" s="116">
        <f>'７月'!K22</f>
        <v>728340</v>
      </c>
      <c r="F22" s="105">
        <v>1635</v>
      </c>
      <c r="G22" s="104">
        <v>212987</v>
      </c>
      <c r="H22" s="103">
        <v>1559</v>
      </c>
      <c r="I22" s="102">
        <v>225300</v>
      </c>
      <c r="J22" s="101">
        <f t="shared" si="0"/>
        <v>5414</v>
      </c>
      <c r="K22" s="100">
        <f t="shared" si="0"/>
        <v>716027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2799</v>
      </c>
      <c r="E23" s="116">
        <f>'７月'!K23</f>
        <v>1866504</v>
      </c>
      <c r="F23" s="112">
        <v>1238</v>
      </c>
      <c r="G23" s="111">
        <v>1567700</v>
      </c>
      <c r="H23" s="110">
        <v>1098</v>
      </c>
      <c r="I23" s="109">
        <v>1543643</v>
      </c>
      <c r="J23" s="108">
        <f t="shared" si="0"/>
        <v>2939</v>
      </c>
      <c r="K23" s="107">
        <f t="shared" si="0"/>
        <v>1890561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25575</v>
      </c>
      <c r="E24" s="116">
        <f>'７月'!K24</f>
        <v>3024570</v>
      </c>
      <c r="F24" s="105">
        <v>1185</v>
      </c>
      <c r="G24" s="104">
        <v>750340</v>
      </c>
      <c r="H24" s="103">
        <v>1206</v>
      </c>
      <c r="I24" s="102">
        <v>656523</v>
      </c>
      <c r="J24" s="101">
        <f t="shared" si="0"/>
        <v>25554</v>
      </c>
      <c r="K24" s="100">
        <f t="shared" si="0"/>
        <v>3118387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8770</v>
      </c>
      <c r="E25" s="116">
        <f>'７月'!K25</f>
        <v>5961010</v>
      </c>
      <c r="F25" s="105">
        <f>4912+73</f>
        <v>4985</v>
      </c>
      <c r="G25" s="104">
        <f>1217994+329462</f>
        <v>1547456</v>
      </c>
      <c r="H25" s="103">
        <f>5992+65</f>
        <v>6057</v>
      </c>
      <c r="I25" s="102">
        <f>1461806+309989</f>
        <v>1771795</v>
      </c>
      <c r="J25" s="101">
        <f t="shared" si="0"/>
        <v>7698</v>
      </c>
      <c r="K25" s="100">
        <f t="shared" si="0"/>
        <v>5736671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19791</v>
      </c>
      <c r="E26" s="116">
        <f>'７月'!K26</f>
        <v>8093706</v>
      </c>
      <c r="F26" s="105">
        <v>7294</v>
      </c>
      <c r="G26" s="104">
        <v>1108656</v>
      </c>
      <c r="H26" s="103">
        <v>7959</v>
      </c>
      <c r="I26" s="102">
        <v>1414016</v>
      </c>
      <c r="J26" s="101">
        <f t="shared" si="0"/>
        <v>19126</v>
      </c>
      <c r="K26" s="100">
        <f t="shared" si="0"/>
        <v>7788346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2126</v>
      </c>
      <c r="E27" s="116">
        <f>'７月'!K27</f>
        <v>344550</v>
      </c>
      <c r="F27" s="105">
        <v>314</v>
      </c>
      <c r="G27" s="104">
        <v>73000</v>
      </c>
      <c r="H27" s="103">
        <v>295</v>
      </c>
      <c r="I27" s="102">
        <v>77550</v>
      </c>
      <c r="J27" s="101">
        <f t="shared" si="0"/>
        <v>2145</v>
      </c>
      <c r="K27" s="100">
        <f t="shared" si="0"/>
        <v>340000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700</v>
      </c>
      <c r="E28" s="116">
        <f>'７月'!K28</f>
        <v>77000</v>
      </c>
      <c r="F28" s="105">
        <v>1080</v>
      </c>
      <c r="G28" s="104">
        <v>118800</v>
      </c>
      <c r="H28" s="103">
        <v>1040</v>
      </c>
      <c r="I28" s="102">
        <v>114400</v>
      </c>
      <c r="J28" s="101">
        <f t="shared" si="0"/>
        <v>740</v>
      </c>
      <c r="K28" s="100">
        <f t="shared" si="0"/>
        <v>81400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1075</v>
      </c>
      <c r="E29" s="116">
        <f>'７月'!K29</f>
        <v>343736</v>
      </c>
      <c r="F29" s="74">
        <f>20+36</f>
        <v>56</v>
      </c>
      <c r="G29" s="111">
        <f>4000+68940</f>
        <v>72940</v>
      </c>
      <c r="H29" s="110">
        <f>15+31</f>
        <v>46</v>
      </c>
      <c r="I29" s="109">
        <f>3000+59365</f>
        <v>62365</v>
      </c>
      <c r="J29" s="108">
        <f t="shared" si="0"/>
        <v>1085</v>
      </c>
      <c r="K29" s="107">
        <f t="shared" si="0"/>
        <v>354311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1283</v>
      </c>
      <c r="E30" s="116">
        <f>'７月'!K30</f>
        <v>606167</v>
      </c>
      <c r="F30" s="112">
        <f>329+278</f>
        <v>607</v>
      </c>
      <c r="G30" s="111">
        <f>143730+74251</f>
        <v>217981</v>
      </c>
      <c r="H30" s="110">
        <f>356+221</f>
        <v>577</v>
      </c>
      <c r="I30" s="109">
        <f>187620+81330</f>
        <v>268950</v>
      </c>
      <c r="J30" s="108">
        <f t="shared" si="0"/>
        <v>1313</v>
      </c>
      <c r="K30" s="107">
        <f t="shared" si="0"/>
        <v>555198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20</v>
      </c>
      <c r="E32" s="116">
        <f>'７月'!K32</f>
        <v>22400</v>
      </c>
      <c r="F32" s="112">
        <v>1</v>
      </c>
      <c r="G32" s="111">
        <v>10400</v>
      </c>
      <c r="H32" s="110">
        <v>1</v>
      </c>
      <c r="I32" s="109">
        <v>9600</v>
      </c>
      <c r="J32" s="108">
        <f t="shared" si="0"/>
        <v>20</v>
      </c>
      <c r="K32" s="107">
        <f t="shared" si="0"/>
        <v>23200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25964</v>
      </c>
      <c r="E33" s="116">
        <f>'７月'!K33</f>
        <v>8355443</v>
      </c>
      <c r="F33" s="112">
        <v>16392</v>
      </c>
      <c r="G33" s="111">
        <v>4860288</v>
      </c>
      <c r="H33" s="72">
        <v>17080</v>
      </c>
      <c r="I33" s="109">
        <v>5235896</v>
      </c>
      <c r="J33" s="108">
        <f t="shared" si="0"/>
        <v>25276</v>
      </c>
      <c r="K33" s="107">
        <f t="shared" si="0"/>
        <v>7979835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94850</v>
      </c>
      <c r="E34" s="116">
        <f>'７月'!K34</f>
        <v>8546436</v>
      </c>
      <c r="F34" s="112">
        <f>22385+152</f>
        <v>22537</v>
      </c>
      <c r="G34" s="111">
        <f>4199460+304700</f>
        <v>4504160</v>
      </c>
      <c r="H34" s="110">
        <f>33969+393</f>
        <v>34362</v>
      </c>
      <c r="I34" s="109">
        <f>5240038+329402</f>
        <v>5569440</v>
      </c>
      <c r="J34" s="108">
        <f t="shared" si="0"/>
        <v>83025</v>
      </c>
      <c r="K34" s="107">
        <f t="shared" si="0"/>
        <v>7481156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730</v>
      </c>
      <c r="E35" s="116">
        <f>'７月'!K35</f>
        <v>91550</v>
      </c>
      <c r="F35" s="112">
        <v>980</v>
      </c>
      <c r="G35" s="111">
        <v>125883</v>
      </c>
      <c r="H35" s="110">
        <v>1231</v>
      </c>
      <c r="I35" s="109">
        <v>157890</v>
      </c>
      <c r="J35" s="108">
        <f t="shared" si="0"/>
        <v>479</v>
      </c>
      <c r="K35" s="107">
        <f t="shared" si="0"/>
        <v>59543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131</v>
      </c>
      <c r="E36" s="116">
        <f>'７月'!K36</f>
        <v>25600</v>
      </c>
      <c r="F36" s="112">
        <v>84</v>
      </c>
      <c r="G36" s="111">
        <v>18200</v>
      </c>
      <c r="H36" s="110">
        <v>76</v>
      </c>
      <c r="I36" s="109">
        <v>14320</v>
      </c>
      <c r="J36" s="108">
        <f t="shared" si="0"/>
        <v>139</v>
      </c>
      <c r="K36" s="107">
        <f t="shared" si="0"/>
        <v>29480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530</v>
      </c>
      <c r="E38" s="116">
        <f>'７月'!K38</f>
        <v>105040</v>
      </c>
      <c r="F38" s="112">
        <v>258</v>
      </c>
      <c r="G38" s="111">
        <v>47761</v>
      </c>
      <c r="H38" s="110">
        <v>62</v>
      </c>
      <c r="I38" s="109">
        <v>11961</v>
      </c>
      <c r="J38" s="108">
        <f t="shared" si="0"/>
        <v>726</v>
      </c>
      <c r="K38" s="107">
        <f t="shared" si="0"/>
        <v>140840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1164</v>
      </c>
      <c r="E39" s="116">
        <f>'７月'!K39</f>
        <v>1280400</v>
      </c>
      <c r="F39" s="112">
        <v>300</v>
      </c>
      <c r="G39" s="111">
        <v>330000</v>
      </c>
      <c r="H39" s="110">
        <v>300</v>
      </c>
      <c r="I39" s="109">
        <v>330000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30601</v>
      </c>
      <c r="E42" s="116">
        <f>'７月'!K42</f>
        <v>3989847</v>
      </c>
      <c r="F42" s="112">
        <v>29761</v>
      </c>
      <c r="G42" s="111">
        <v>8813795</v>
      </c>
      <c r="H42" s="110">
        <v>27979</v>
      </c>
      <c r="I42" s="109">
        <v>8022150</v>
      </c>
      <c r="J42" s="108">
        <f t="shared" si="0"/>
        <v>32383</v>
      </c>
      <c r="K42" s="107">
        <f t="shared" si="0"/>
        <v>4781492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4880</v>
      </c>
      <c r="E43" s="116">
        <f>'７月'!K43</f>
        <v>1545188</v>
      </c>
      <c r="F43" s="112">
        <v>6600</v>
      </c>
      <c r="G43" s="111">
        <v>2161730</v>
      </c>
      <c r="H43" s="110">
        <v>6682</v>
      </c>
      <c r="I43" s="109">
        <v>2223869</v>
      </c>
      <c r="J43" s="108">
        <f t="shared" si="0"/>
        <v>4798</v>
      </c>
      <c r="K43" s="107">
        <f t="shared" si="0"/>
        <v>1483049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77</v>
      </c>
      <c r="E44" s="116">
        <f>'７月'!K44</f>
        <v>113550</v>
      </c>
      <c r="F44" s="112">
        <v>2</v>
      </c>
      <c r="G44" s="111">
        <v>1650</v>
      </c>
      <c r="H44" s="110">
        <v>2</v>
      </c>
      <c r="I44" s="109">
        <v>1650</v>
      </c>
      <c r="J44" s="108">
        <f t="shared" si="0"/>
        <v>77</v>
      </c>
      <c r="K44" s="107">
        <f t="shared" si="0"/>
        <v>113550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6362</v>
      </c>
      <c r="E45" s="116">
        <f>'７月'!K45</f>
        <v>2837591</v>
      </c>
      <c r="F45" s="112">
        <v>2581</v>
      </c>
      <c r="G45" s="111">
        <v>749563</v>
      </c>
      <c r="H45" s="110">
        <v>2706</v>
      </c>
      <c r="I45" s="109">
        <v>421231</v>
      </c>
      <c r="J45" s="108">
        <f t="shared" si="0"/>
        <v>6237</v>
      </c>
      <c r="K45" s="107">
        <f t="shared" si="0"/>
        <v>3165923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7586</v>
      </c>
      <c r="E46" s="116">
        <f>'７月'!K46</f>
        <v>1231679</v>
      </c>
      <c r="F46" s="105">
        <v>3196</v>
      </c>
      <c r="G46" s="104">
        <v>539324</v>
      </c>
      <c r="H46" s="103">
        <v>3235</v>
      </c>
      <c r="I46" s="102">
        <v>517063</v>
      </c>
      <c r="J46" s="101">
        <f t="shared" si="0"/>
        <v>7547</v>
      </c>
      <c r="K46" s="100">
        <f t="shared" si="0"/>
        <v>1253940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3163</v>
      </c>
      <c r="E47" s="116">
        <f>'７月'!K47</f>
        <v>3889187</v>
      </c>
      <c r="F47" s="105">
        <f>3901+14</f>
        <v>3915</v>
      </c>
      <c r="G47" s="104">
        <f>4900233+43000</f>
        <v>4943233</v>
      </c>
      <c r="H47" s="103">
        <f>1901+16</f>
        <v>1917</v>
      </c>
      <c r="I47" s="102">
        <f>5144883+39000</f>
        <v>5183883</v>
      </c>
      <c r="J47" s="101">
        <f t="shared" si="0"/>
        <v>5161</v>
      </c>
      <c r="K47" s="100">
        <f t="shared" si="0"/>
        <v>3648537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4188</v>
      </c>
      <c r="E49" s="97">
        <f>'７月'!K49</f>
        <v>1682550</v>
      </c>
      <c r="F49" s="98">
        <v>4644</v>
      </c>
      <c r="G49" s="97">
        <v>1134434</v>
      </c>
      <c r="H49" s="96">
        <v>4678</v>
      </c>
      <c r="I49" s="95">
        <v>1020526</v>
      </c>
      <c r="J49" s="94">
        <f t="shared" si="0"/>
        <v>4154</v>
      </c>
      <c r="K49" s="93">
        <f t="shared" si="0"/>
        <v>1796458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282542</v>
      </c>
      <c r="E50" s="90">
        <f t="shared" si="1"/>
        <v>67327326</v>
      </c>
      <c r="F50" s="89">
        <f t="shared" si="1"/>
        <v>113303</v>
      </c>
      <c r="G50" s="87">
        <f t="shared" si="1"/>
        <v>36753978</v>
      </c>
      <c r="H50" s="89">
        <f t="shared" si="1"/>
        <v>124727</v>
      </c>
      <c r="I50" s="87">
        <f t="shared" si="1"/>
        <v>38686205</v>
      </c>
      <c r="J50" s="88">
        <f t="shared" si="0"/>
        <v>271118</v>
      </c>
      <c r="K50" s="87">
        <f t="shared" si="0"/>
        <v>65395099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27214</v>
      </c>
      <c r="E10" s="116">
        <f>'８月'!K10</f>
        <v>6756436</v>
      </c>
      <c r="F10" s="119">
        <v>5112</v>
      </c>
      <c r="G10" s="118">
        <v>1029708</v>
      </c>
      <c r="H10" s="117">
        <v>3793</v>
      </c>
      <c r="I10" s="116">
        <v>641342</v>
      </c>
      <c r="J10" s="115">
        <f aca="true" t="shared" si="0" ref="J10:K50">D10+F10-H10</f>
        <v>28533</v>
      </c>
      <c r="K10" s="114">
        <f t="shared" si="0"/>
        <v>7144802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1164</v>
      </c>
      <c r="E11" s="116">
        <f>'８月'!K11</f>
        <v>130830</v>
      </c>
      <c r="F11" s="105">
        <v>0</v>
      </c>
      <c r="G11" s="104">
        <v>0</v>
      </c>
      <c r="H11" s="103">
        <v>150</v>
      </c>
      <c r="I11" s="102">
        <v>47250</v>
      </c>
      <c r="J11" s="101">
        <f t="shared" si="0"/>
        <v>1014</v>
      </c>
      <c r="K11" s="100">
        <f t="shared" si="0"/>
        <v>83580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149</v>
      </c>
      <c r="E12" s="116">
        <f>'８月'!K12</f>
        <v>19790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4154</v>
      </c>
      <c r="E13" s="116">
        <f>'８月'!K13</f>
        <v>1063677</v>
      </c>
      <c r="F13" s="105">
        <v>248</v>
      </c>
      <c r="G13" s="104">
        <v>51277</v>
      </c>
      <c r="H13" s="103">
        <v>798</v>
      </c>
      <c r="I13" s="102">
        <v>200865</v>
      </c>
      <c r="J13" s="101">
        <f t="shared" si="0"/>
        <v>3604</v>
      </c>
      <c r="K13" s="100">
        <f t="shared" si="0"/>
        <v>914089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1199</v>
      </c>
      <c r="E17" s="116">
        <f>'８月'!K17</f>
        <v>3601812</v>
      </c>
      <c r="F17" s="105">
        <v>941</v>
      </c>
      <c r="G17" s="104">
        <v>2959861</v>
      </c>
      <c r="H17" s="103">
        <v>920</v>
      </c>
      <c r="I17" s="102">
        <v>2814049</v>
      </c>
      <c r="J17" s="101">
        <f t="shared" si="0"/>
        <v>1220</v>
      </c>
      <c r="K17" s="100">
        <f t="shared" si="0"/>
        <v>3747624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38</v>
      </c>
      <c r="E18" s="116">
        <f>'８月'!K18</f>
        <v>4250</v>
      </c>
      <c r="F18" s="105">
        <v>60</v>
      </c>
      <c r="G18" s="104">
        <v>5700</v>
      </c>
      <c r="H18" s="103">
        <v>55</v>
      </c>
      <c r="I18" s="102">
        <v>5520</v>
      </c>
      <c r="J18" s="101">
        <f t="shared" si="0"/>
        <v>43</v>
      </c>
      <c r="K18" s="100">
        <f t="shared" si="0"/>
        <v>4430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5414</v>
      </c>
      <c r="E22" s="116">
        <f>'８月'!K22</f>
        <v>716027</v>
      </c>
      <c r="F22" s="105">
        <v>4319</v>
      </c>
      <c r="G22" s="104">
        <v>500580</v>
      </c>
      <c r="H22" s="103">
        <v>1723</v>
      </c>
      <c r="I22" s="102">
        <v>240920</v>
      </c>
      <c r="J22" s="101">
        <f t="shared" si="0"/>
        <v>8010</v>
      </c>
      <c r="K22" s="100">
        <f t="shared" si="0"/>
        <v>975687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2939</v>
      </c>
      <c r="E23" s="116">
        <f>'８月'!K23</f>
        <v>1890561</v>
      </c>
      <c r="F23" s="112">
        <v>1360</v>
      </c>
      <c r="G23" s="111">
        <v>2409050</v>
      </c>
      <c r="H23" s="110">
        <v>1180</v>
      </c>
      <c r="I23" s="109">
        <v>1852574</v>
      </c>
      <c r="J23" s="108">
        <f t="shared" si="0"/>
        <v>3119</v>
      </c>
      <c r="K23" s="107">
        <f t="shared" si="0"/>
        <v>2447037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25554</v>
      </c>
      <c r="E24" s="116">
        <f>'８月'!K24</f>
        <v>3118387</v>
      </c>
      <c r="F24" s="105">
        <v>1257</v>
      </c>
      <c r="G24" s="104">
        <v>1538983</v>
      </c>
      <c r="H24" s="103">
        <v>1243</v>
      </c>
      <c r="I24" s="102">
        <v>1542857</v>
      </c>
      <c r="J24" s="101">
        <f t="shared" si="0"/>
        <v>25568</v>
      </c>
      <c r="K24" s="100">
        <f t="shared" si="0"/>
        <v>3114513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7698</v>
      </c>
      <c r="E25" s="116">
        <f>'８月'!K25</f>
        <v>5736671</v>
      </c>
      <c r="F25" s="105">
        <f>4861+29</f>
        <v>4890</v>
      </c>
      <c r="G25" s="104">
        <f>1094039+140051</f>
        <v>1234090</v>
      </c>
      <c r="H25" s="103">
        <f>5050+31</f>
        <v>5081</v>
      </c>
      <c r="I25" s="102">
        <f>1979705+134682</f>
        <v>2114387</v>
      </c>
      <c r="J25" s="101">
        <f t="shared" si="0"/>
        <v>7507</v>
      </c>
      <c r="K25" s="100">
        <f t="shared" si="0"/>
        <v>4856374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19126</v>
      </c>
      <c r="E26" s="116">
        <f>'８月'!K26</f>
        <v>7788346</v>
      </c>
      <c r="F26" s="105">
        <v>7547</v>
      </c>
      <c r="G26" s="104">
        <v>1616954</v>
      </c>
      <c r="H26" s="103">
        <v>7734</v>
      </c>
      <c r="I26" s="102">
        <v>1528683</v>
      </c>
      <c r="J26" s="101">
        <f t="shared" si="0"/>
        <v>18939</v>
      </c>
      <c r="K26" s="100">
        <f t="shared" si="0"/>
        <v>7876617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2145</v>
      </c>
      <c r="E27" s="116">
        <f>'８月'!K27</f>
        <v>340000</v>
      </c>
      <c r="F27" s="105">
        <v>451</v>
      </c>
      <c r="G27" s="104">
        <v>112300</v>
      </c>
      <c r="H27" s="103">
        <v>416</v>
      </c>
      <c r="I27" s="102">
        <v>98600</v>
      </c>
      <c r="J27" s="101">
        <f t="shared" si="0"/>
        <v>2180</v>
      </c>
      <c r="K27" s="100">
        <f t="shared" si="0"/>
        <v>353700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740</v>
      </c>
      <c r="E28" s="116">
        <f>'８月'!K28</f>
        <v>81400</v>
      </c>
      <c r="F28" s="105">
        <v>900</v>
      </c>
      <c r="G28" s="104">
        <v>99000</v>
      </c>
      <c r="H28" s="103">
        <v>1040</v>
      </c>
      <c r="I28" s="102">
        <v>114400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1085</v>
      </c>
      <c r="E29" s="116">
        <f>'８月'!K29</f>
        <v>354311</v>
      </c>
      <c r="F29" s="74">
        <f>21+36</f>
        <v>57</v>
      </c>
      <c r="G29" s="111">
        <f>4200+68940</f>
        <v>73140</v>
      </c>
      <c r="H29" s="110">
        <f>16+38</f>
        <v>54</v>
      </c>
      <c r="I29" s="109">
        <f>3200+72770</f>
        <v>75970</v>
      </c>
      <c r="J29" s="108">
        <f t="shared" si="0"/>
        <v>1088</v>
      </c>
      <c r="K29" s="107">
        <f t="shared" si="0"/>
        <v>351481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1313</v>
      </c>
      <c r="E30" s="116">
        <f>'８月'!K30</f>
        <v>555198</v>
      </c>
      <c r="F30" s="112">
        <f>316+260</f>
        <v>576</v>
      </c>
      <c r="G30" s="111">
        <f>140220+82383</f>
        <v>222603</v>
      </c>
      <c r="H30" s="110">
        <f>349+262</f>
        <v>611</v>
      </c>
      <c r="I30" s="109">
        <f>167430+91635</f>
        <v>259065</v>
      </c>
      <c r="J30" s="108">
        <f t="shared" si="0"/>
        <v>1278</v>
      </c>
      <c r="K30" s="107">
        <f t="shared" si="0"/>
        <v>518736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20</v>
      </c>
      <c r="E32" s="116">
        <f>'８月'!K32</f>
        <v>23200</v>
      </c>
      <c r="F32" s="112">
        <v>9</v>
      </c>
      <c r="G32" s="111">
        <v>14055</v>
      </c>
      <c r="H32" s="110">
        <v>0</v>
      </c>
      <c r="I32" s="109">
        <v>7200</v>
      </c>
      <c r="J32" s="108">
        <f t="shared" si="0"/>
        <v>29</v>
      </c>
      <c r="K32" s="107">
        <f t="shared" si="0"/>
        <v>30055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25276</v>
      </c>
      <c r="E33" s="116">
        <f>'８月'!K33</f>
        <v>7979835</v>
      </c>
      <c r="F33" s="112">
        <v>17962</v>
      </c>
      <c r="G33" s="111">
        <v>5365190</v>
      </c>
      <c r="H33" s="72">
        <v>17596</v>
      </c>
      <c r="I33" s="109">
        <v>5344283</v>
      </c>
      <c r="J33" s="108">
        <f t="shared" si="0"/>
        <v>25642</v>
      </c>
      <c r="K33" s="107">
        <f t="shared" si="0"/>
        <v>8000742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83025</v>
      </c>
      <c r="E34" s="116">
        <f>'８月'!K34</f>
        <v>7481156</v>
      </c>
      <c r="F34" s="112">
        <f>26619+135</f>
        <v>26754</v>
      </c>
      <c r="G34" s="111">
        <f>5125241+345900</f>
        <v>5471141</v>
      </c>
      <c r="H34" s="110">
        <f>27804+136</f>
        <v>27940</v>
      </c>
      <c r="I34" s="109">
        <f>5154821+298220</f>
        <v>5453041</v>
      </c>
      <c r="J34" s="108">
        <f t="shared" si="0"/>
        <v>81839</v>
      </c>
      <c r="K34" s="107">
        <f t="shared" si="0"/>
        <v>7499256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479</v>
      </c>
      <c r="E35" s="116">
        <f>'８月'!K35</f>
        <v>59543</v>
      </c>
      <c r="F35" s="112">
        <v>1471</v>
      </c>
      <c r="G35" s="111">
        <v>184830</v>
      </c>
      <c r="H35" s="110">
        <v>1374</v>
      </c>
      <c r="I35" s="109">
        <v>175266</v>
      </c>
      <c r="J35" s="108">
        <f t="shared" si="0"/>
        <v>576</v>
      </c>
      <c r="K35" s="107">
        <f t="shared" si="0"/>
        <v>69107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139</v>
      </c>
      <c r="E36" s="116">
        <f>'８月'!K36</f>
        <v>29480</v>
      </c>
      <c r="F36" s="112">
        <v>181</v>
      </c>
      <c r="G36" s="111">
        <v>36520</v>
      </c>
      <c r="H36" s="110">
        <v>172</v>
      </c>
      <c r="I36" s="109">
        <v>36080</v>
      </c>
      <c r="J36" s="108">
        <f t="shared" si="0"/>
        <v>148</v>
      </c>
      <c r="K36" s="107">
        <f t="shared" si="0"/>
        <v>29920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726</v>
      </c>
      <c r="E38" s="116">
        <f>'８月'!K38</f>
        <v>140840</v>
      </c>
      <c r="F38" s="112">
        <v>79</v>
      </c>
      <c r="G38" s="111">
        <v>14961</v>
      </c>
      <c r="H38" s="110">
        <v>38</v>
      </c>
      <c r="I38" s="109">
        <v>7881</v>
      </c>
      <c r="J38" s="108">
        <f t="shared" si="0"/>
        <v>767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1164</v>
      </c>
      <c r="E39" s="116">
        <f>'８月'!K39</f>
        <v>1280400</v>
      </c>
      <c r="F39" s="112">
        <v>300</v>
      </c>
      <c r="G39" s="111">
        <v>330000</v>
      </c>
      <c r="H39" s="110">
        <v>300</v>
      </c>
      <c r="I39" s="109">
        <v>330000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32383</v>
      </c>
      <c r="E42" s="116">
        <f>'８月'!K42</f>
        <v>4781492</v>
      </c>
      <c r="F42" s="112">
        <v>24336</v>
      </c>
      <c r="G42" s="111">
        <v>7390254</v>
      </c>
      <c r="H42" s="110">
        <v>27996</v>
      </c>
      <c r="I42" s="109">
        <v>8508466</v>
      </c>
      <c r="J42" s="108">
        <f t="shared" si="0"/>
        <v>28723</v>
      </c>
      <c r="K42" s="107">
        <f t="shared" si="0"/>
        <v>3663280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4798</v>
      </c>
      <c r="E43" s="116">
        <f>'８月'!K43</f>
        <v>1483049</v>
      </c>
      <c r="F43" s="112">
        <v>8195</v>
      </c>
      <c r="G43" s="111">
        <v>2725232</v>
      </c>
      <c r="H43" s="110">
        <v>7281</v>
      </c>
      <c r="I43" s="109">
        <v>2411562</v>
      </c>
      <c r="J43" s="108">
        <f t="shared" si="0"/>
        <v>5712</v>
      </c>
      <c r="K43" s="107">
        <f t="shared" si="0"/>
        <v>1796719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77</v>
      </c>
      <c r="E44" s="116">
        <f>'８月'!K44</f>
        <v>113550</v>
      </c>
      <c r="F44" s="112">
        <v>2</v>
      </c>
      <c r="G44" s="111">
        <v>1501</v>
      </c>
      <c r="H44" s="110">
        <v>2</v>
      </c>
      <c r="I44" s="109">
        <v>1771</v>
      </c>
      <c r="J44" s="108">
        <f t="shared" si="0"/>
        <v>77</v>
      </c>
      <c r="K44" s="107">
        <f t="shared" si="0"/>
        <v>113280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6237</v>
      </c>
      <c r="E45" s="116">
        <f>'８月'!K45</f>
        <v>3165923</v>
      </c>
      <c r="F45" s="112">
        <v>2581</v>
      </c>
      <c r="G45" s="111">
        <v>684741</v>
      </c>
      <c r="H45" s="110">
        <v>2191</v>
      </c>
      <c r="I45" s="109">
        <v>546641</v>
      </c>
      <c r="J45" s="108">
        <f t="shared" si="0"/>
        <v>6627</v>
      </c>
      <c r="K45" s="107">
        <f t="shared" si="0"/>
        <v>3304023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7547</v>
      </c>
      <c r="E46" s="116">
        <f>'８月'!K46</f>
        <v>1253940</v>
      </c>
      <c r="F46" s="105">
        <v>3896</v>
      </c>
      <c r="G46" s="104">
        <v>715445</v>
      </c>
      <c r="H46" s="103">
        <v>3222</v>
      </c>
      <c r="I46" s="102">
        <v>600527</v>
      </c>
      <c r="J46" s="101">
        <f t="shared" si="0"/>
        <v>8221</v>
      </c>
      <c r="K46" s="100">
        <f t="shared" si="0"/>
        <v>1368858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5161</v>
      </c>
      <c r="E47" s="116">
        <f>'８月'!K47</f>
        <v>3648537</v>
      </c>
      <c r="F47" s="105">
        <v>10577</v>
      </c>
      <c r="G47" s="104">
        <v>5926296</v>
      </c>
      <c r="H47" s="103">
        <f>9456+38</f>
        <v>9494</v>
      </c>
      <c r="I47" s="102">
        <f>6044349+120000</f>
        <v>6164349</v>
      </c>
      <c r="J47" s="101">
        <f t="shared" si="0"/>
        <v>6244</v>
      </c>
      <c r="K47" s="100">
        <f t="shared" si="0"/>
        <v>3410484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4154</v>
      </c>
      <c r="E49" s="97">
        <f>'８月'!K49</f>
        <v>1796458</v>
      </c>
      <c r="F49" s="98">
        <v>4947</v>
      </c>
      <c r="G49" s="97">
        <v>1397807</v>
      </c>
      <c r="H49" s="96">
        <v>4299</v>
      </c>
      <c r="I49" s="95">
        <v>1036988</v>
      </c>
      <c r="J49" s="94">
        <f t="shared" si="0"/>
        <v>4802</v>
      </c>
      <c r="K49" s="93">
        <f t="shared" si="0"/>
        <v>2157277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271118</v>
      </c>
      <c r="E50" s="90">
        <f t="shared" si="1"/>
        <v>65395099</v>
      </c>
      <c r="F50" s="89">
        <f t="shared" si="1"/>
        <v>129008</v>
      </c>
      <c r="G50" s="87">
        <f t="shared" si="1"/>
        <v>42111219</v>
      </c>
      <c r="H50" s="89">
        <f t="shared" si="1"/>
        <v>126703</v>
      </c>
      <c r="I50" s="87">
        <f t="shared" si="1"/>
        <v>42160537</v>
      </c>
      <c r="J50" s="88">
        <f t="shared" si="0"/>
        <v>273423</v>
      </c>
      <c r="K50" s="87">
        <f t="shared" si="0"/>
        <v>65345781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2018-01-29T04:10:25Z</cp:lastPrinted>
  <dcterms:created xsi:type="dcterms:W3CDTF">2001-03-04T05:07:28Z</dcterms:created>
  <dcterms:modified xsi:type="dcterms:W3CDTF">2018-01-29T04:10:43Z</dcterms:modified>
  <cp:category/>
  <cp:version/>
  <cp:contentType/>
  <cp:contentStatus/>
</cp:coreProperties>
</file>