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firstSheet="1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comments3.xml><?xml version="1.0" encoding="utf-8"?>
<comments xmlns="http://schemas.openxmlformats.org/spreadsheetml/2006/main">
  <authors>
    <author>user02</author>
  </authors>
  <commentList>
    <comment ref="F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47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47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<sst xmlns="http://schemas.openxmlformats.org/spreadsheetml/2006/main" count="865" uniqueCount="74">
  <si>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</si>
  <si>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</si>
  <si>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</si>
  <si>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</si>
  <si>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</si>
  <si>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</si>
  <si>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</si>
  <si>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</si>
  <si>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</si>
  <si>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</si>
  <si>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</si>
  <si>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</si>
  <si>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</si>
  <si>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</si>
  <si>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</si>
  <si>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</si>
  <si>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</si>
  <si>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</si>
  <si>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</si>
  <si>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</si>
  <si>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</si>
  <si>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</si>
  <si>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</si>
  <si>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</si>
  <si>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</si>
  <si>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</si>
  <si>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</si>
  <si>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</si>
  <si>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</si>
  <si>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</si>
  <si>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</si>
  <si>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</si>
  <si>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</si>
  <si>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</si>
  <si>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</si>
  <si>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</si>
  <si>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</si>
  <si>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</si>
  <si>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</si>
  <si>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</si>
  <si>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</si>
  <si>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</si>
  <si>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</si>
  <si>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</si>
  <si>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</si>
  <si>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</si>
  <si>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</si>
  <si>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</si>
  <si>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</si>
  <si>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</si>
  <si>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</si>
  <si>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</si>
  <si>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</si>
  <si>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</si>
  <si>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</si>
  <si>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</si>
  <si>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</si>
  <si>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</si>
  <si>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</si>
  <si>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</si>
  <si>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</si>
  <si>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</si>
  <si>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</si>
  <si>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</si>
  <si>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</si>
  <si>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</si>
  <si>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</si>
  <si>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</si>
  <si>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</si>
  <si>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</si>
  <si>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</si>
  <si>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</si>
  <si>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</si>
  <si>
    <t>平成30年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</si>
</sst>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5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38" fontId="0" fillId="0" borderId="15" xfId="49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49" sqref="N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61</v>
      </c>
      <c r="E4" s="28" t="s">
        <v>54</v>
      </c>
      <c r="I4" s="26" t="s">
        <v>52</v>
      </c>
      <c r="J4" s="147" t="s">
        <v>57</v>
      </c>
      <c r="K4" s="147"/>
      <c r="L4" s="147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>
        <v>24859</v>
      </c>
      <c r="E10" s="40">
        <v>5934324</v>
      </c>
      <c r="F10" s="41">
        <v>2328</v>
      </c>
      <c r="G10" s="42">
        <v>456550</v>
      </c>
      <c r="H10" s="43">
        <v>3574</v>
      </c>
      <c r="I10" s="40">
        <v>694938</v>
      </c>
      <c r="J10" s="29">
        <f aca="true" t="shared" si="0" ref="J10:J50">D10+F10-H10</f>
        <v>23613</v>
      </c>
      <c r="K10" s="30">
        <f aca="true" t="shared" si="1" ref="K10:K50">E10+G10-I10</f>
        <v>5695936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914</v>
      </c>
      <c r="E11" s="45">
        <v>103080</v>
      </c>
      <c r="F11" s="46">
        <v>0</v>
      </c>
      <c r="G11" s="47">
        <v>0</v>
      </c>
      <c r="H11" s="48">
        <v>20</v>
      </c>
      <c r="I11" s="45">
        <v>0</v>
      </c>
      <c r="J11" s="32">
        <f t="shared" si="0"/>
        <v>894</v>
      </c>
      <c r="K11" s="33">
        <f t="shared" si="1"/>
        <v>103080</v>
      </c>
      <c r="L11" s="34"/>
    </row>
    <row r="12" spans="2:12" ht="20.25" customHeight="1">
      <c r="B12" s="21">
        <v>3</v>
      </c>
      <c r="C12" s="22" t="s">
        <v>8</v>
      </c>
      <c r="D12" s="44">
        <v>180</v>
      </c>
      <c r="E12" s="45">
        <v>23803</v>
      </c>
      <c r="F12" s="46">
        <v>0</v>
      </c>
      <c r="G12" s="47">
        <v>0</v>
      </c>
      <c r="H12" s="48">
        <v>24</v>
      </c>
      <c r="I12" s="45">
        <v>3172</v>
      </c>
      <c r="J12" s="32">
        <f t="shared" si="0"/>
        <v>156</v>
      </c>
      <c r="K12" s="33">
        <f t="shared" si="1"/>
        <v>20631</v>
      </c>
      <c r="L12" s="34"/>
    </row>
    <row r="13" spans="2:12" ht="20.25" customHeight="1">
      <c r="B13" s="21">
        <v>4</v>
      </c>
      <c r="C13" s="22" t="s">
        <v>9</v>
      </c>
      <c r="D13" s="44">
        <v>3500</v>
      </c>
      <c r="E13" s="45">
        <v>832412</v>
      </c>
      <c r="F13" s="46">
        <v>1503</v>
      </c>
      <c r="G13" s="47">
        <v>356715</v>
      </c>
      <c r="H13" s="48">
        <v>443</v>
      </c>
      <c r="I13" s="45">
        <v>108623</v>
      </c>
      <c r="J13" s="32">
        <f t="shared" si="0"/>
        <v>4560</v>
      </c>
      <c r="K13" s="33">
        <f t="shared" si="1"/>
        <v>1080504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2167</v>
      </c>
      <c r="E17" s="45">
        <v>6520330</v>
      </c>
      <c r="F17" s="46">
        <v>1251</v>
      </c>
      <c r="G17" s="47">
        <v>3827583</v>
      </c>
      <c r="H17" s="48">
        <v>1451</v>
      </c>
      <c r="I17" s="45">
        <v>4431410</v>
      </c>
      <c r="J17" s="32">
        <f t="shared" si="0"/>
        <v>1967</v>
      </c>
      <c r="K17" s="33">
        <f t="shared" si="1"/>
        <v>5916503</v>
      </c>
      <c r="L17" s="34"/>
    </row>
    <row r="18" spans="2:12" ht="20.25" customHeight="1">
      <c r="B18" s="21">
        <v>9</v>
      </c>
      <c r="C18" s="22" t="s">
        <v>14</v>
      </c>
      <c r="D18" s="44">
        <v>128</v>
      </c>
      <c r="E18" s="45">
        <v>21255</v>
      </c>
      <c r="F18" s="46">
        <v>87</v>
      </c>
      <c r="G18" s="47">
        <v>7416</v>
      </c>
      <c r="H18" s="48">
        <v>98</v>
      </c>
      <c r="I18" s="45">
        <v>11352</v>
      </c>
      <c r="J18" s="32">
        <f t="shared" si="0"/>
        <v>117</v>
      </c>
      <c r="K18" s="33">
        <f t="shared" si="1"/>
        <v>17319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0</v>
      </c>
      <c r="E20" s="45">
        <v>0</v>
      </c>
      <c r="F20" s="46">
        <v>0</v>
      </c>
      <c r="G20" s="47">
        <v>0</v>
      </c>
      <c r="H20" s="48">
        <v>0</v>
      </c>
      <c r="I20" s="45">
        <v>0</v>
      </c>
      <c r="J20" s="32">
        <f t="shared" si="0"/>
        <v>0</v>
      </c>
      <c r="K20" s="33">
        <f t="shared" si="1"/>
        <v>0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8804</v>
      </c>
      <c r="E22" s="45">
        <v>1059307</v>
      </c>
      <c r="F22" s="46">
        <v>2684</v>
      </c>
      <c r="G22" s="47">
        <v>365380</v>
      </c>
      <c r="H22" s="48">
        <v>2774</v>
      </c>
      <c r="I22" s="45">
        <v>333440</v>
      </c>
      <c r="J22" s="32">
        <f t="shared" si="0"/>
        <v>8714</v>
      </c>
      <c r="K22" s="33">
        <f t="shared" si="1"/>
        <v>1091247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3015</v>
      </c>
      <c r="E23" s="59">
        <v>2786730</v>
      </c>
      <c r="F23" s="56">
        <v>1266</v>
      </c>
      <c r="G23" s="57">
        <v>1914550</v>
      </c>
      <c r="H23" s="58">
        <v>1597</v>
      </c>
      <c r="I23" s="59">
        <v>1545738</v>
      </c>
      <c r="J23" s="64">
        <f t="shared" si="0"/>
        <v>2684</v>
      </c>
      <c r="K23" s="65">
        <f t="shared" si="1"/>
        <v>3155542</v>
      </c>
      <c r="L23" s="71"/>
    </row>
    <row r="24" spans="2:12" ht="20.25" customHeight="1">
      <c r="B24" s="21">
        <v>15</v>
      </c>
      <c r="C24" s="22" t="s">
        <v>20</v>
      </c>
      <c r="D24" s="44">
        <v>25897</v>
      </c>
      <c r="E24" s="45">
        <v>3242335</v>
      </c>
      <c r="F24" s="46">
        <v>773</v>
      </c>
      <c r="G24" s="47">
        <v>1383597</v>
      </c>
      <c r="H24" s="48">
        <v>771</v>
      </c>
      <c r="I24" s="45">
        <v>1360179</v>
      </c>
      <c r="J24" s="32">
        <f t="shared" si="0"/>
        <v>25899</v>
      </c>
      <c r="K24" s="33">
        <f t="shared" si="1"/>
        <v>3265753</v>
      </c>
      <c r="L24" s="34"/>
    </row>
    <row r="25" spans="2:12" ht="20.25" customHeight="1">
      <c r="B25" s="21">
        <v>16</v>
      </c>
      <c r="C25" s="22" t="s">
        <v>21</v>
      </c>
      <c r="D25" s="44">
        <v>7251</v>
      </c>
      <c r="E25" s="45">
        <v>4855010</v>
      </c>
      <c r="F25" s="46">
        <f>3742+40</f>
        <v>3782</v>
      </c>
      <c r="G25" s="47">
        <f>1034311+145133</f>
        <v>1179444</v>
      </c>
      <c r="H25" s="48">
        <f>4316+38</f>
        <v>4354</v>
      </c>
      <c r="I25" s="45">
        <f>1028480+125280</f>
        <v>1153760</v>
      </c>
      <c r="J25" s="32">
        <f t="shared" si="0"/>
        <v>6679</v>
      </c>
      <c r="K25" s="33">
        <f t="shared" si="1"/>
        <v>4880694</v>
      </c>
      <c r="L25" s="34"/>
    </row>
    <row r="26" spans="2:12" ht="20.25" customHeight="1">
      <c r="B26" s="21">
        <v>17</v>
      </c>
      <c r="C26" s="22" t="s">
        <v>22</v>
      </c>
      <c r="D26" s="44">
        <v>20575</v>
      </c>
      <c r="E26" s="45">
        <v>8580283</v>
      </c>
      <c r="F26" s="46">
        <v>6373</v>
      </c>
      <c r="G26" s="47">
        <v>1158403</v>
      </c>
      <c r="H26" s="48">
        <v>6666</v>
      </c>
      <c r="I26" s="45">
        <v>1453389</v>
      </c>
      <c r="J26" s="32">
        <f t="shared" si="0"/>
        <v>20282</v>
      </c>
      <c r="K26" s="33">
        <f t="shared" si="1"/>
        <v>8285297</v>
      </c>
      <c r="L26" s="34"/>
    </row>
    <row r="27" spans="2:12" ht="20.25" customHeight="1">
      <c r="B27" s="21">
        <v>18</v>
      </c>
      <c r="C27" s="22" t="s">
        <v>51</v>
      </c>
      <c r="D27" s="44">
        <v>2068</v>
      </c>
      <c r="E27" s="45">
        <v>335500</v>
      </c>
      <c r="F27" s="46">
        <v>179</v>
      </c>
      <c r="G27" s="47">
        <v>49400</v>
      </c>
      <c r="H27" s="48">
        <v>223</v>
      </c>
      <c r="I27" s="45">
        <v>63950</v>
      </c>
      <c r="J27" s="32">
        <f t="shared" si="0"/>
        <v>2024</v>
      </c>
      <c r="K27" s="33">
        <f t="shared" si="1"/>
        <v>320950</v>
      </c>
      <c r="L27" s="34"/>
    </row>
    <row r="28" spans="2:12" ht="20.25" customHeight="1">
      <c r="B28" s="21">
        <v>19</v>
      </c>
      <c r="C28" s="22" t="s">
        <v>23</v>
      </c>
      <c r="D28" s="44">
        <v>760</v>
      </c>
      <c r="E28" s="45">
        <v>83600</v>
      </c>
      <c r="F28" s="46">
        <v>700</v>
      </c>
      <c r="G28" s="47">
        <v>77000</v>
      </c>
      <c r="H28" s="48">
        <v>730</v>
      </c>
      <c r="I28" s="45">
        <v>80300</v>
      </c>
      <c r="J28" s="32">
        <f t="shared" si="0"/>
        <v>730</v>
      </c>
      <c r="K28" s="33">
        <f t="shared" si="1"/>
        <v>80300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v>1100</v>
      </c>
      <c r="E29" s="59">
        <v>359026</v>
      </c>
      <c r="F29" s="74">
        <f>21+119</f>
        <v>140</v>
      </c>
      <c r="G29" s="57">
        <f>4200+105350</f>
        <v>109550</v>
      </c>
      <c r="H29" s="58">
        <f>19+70</f>
        <v>89</v>
      </c>
      <c r="I29" s="59">
        <f>3800+89595</f>
        <v>93395</v>
      </c>
      <c r="J29" s="64">
        <f t="shared" si="0"/>
        <v>1151</v>
      </c>
      <c r="K29" s="65">
        <f t="shared" si="1"/>
        <v>375181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v>1354</v>
      </c>
      <c r="E30" s="59">
        <v>745560</v>
      </c>
      <c r="F30" s="56">
        <f>472+310</f>
        <v>782</v>
      </c>
      <c r="G30" s="57">
        <f>212229+87396</f>
        <v>299625</v>
      </c>
      <c r="H30" s="58">
        <f>283+361</f>
        <v>644</v>
      </c>
      <c r="I30" s="59">
        <f>107022+81720</f>
        <v>188742</v>
      </c>
      <c r="J30" s="64">
        <f t="shared" si="0"/>
        <v>1492</v>
      </c>
      <c r="K30" s="65">
        <f t="shared" si="1"/>
        <v>856443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9</v>
      </c>
      <c r="E32" s="59">
        <v>7612</v>
      </c>
      <c r="F32" s="56">
        <v>0</v>
      </c>
      <c r="G32" s="57">
        <v>0</v>
      </c>
      <c r="H32" s="58">
        <v>9</v>
      </c>
      <c r="I32" s="59">
        <v>7612</v>
      </c>
      <c r="J32" s="64">
        <f t="shared" si="0"/>
        <v>0</v>
      </c>
      <c r="K32" s="65">
        <f t="shared" si="1"/>
        <v>0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21654</v>
      </c>
      <c r="E33" s="59">
        <v>6688688</v>
      </c>
      <c r="F33" s="56">
        <v>17251</v>
      </c>
      <c r="G33" s="57">
        <v>5436735</v>
      </c>
      <c r="H33" s="72">
        <v>17458</v>
      </c>
      <c r="I33" s="59">
        <v>5477316</v>
      </c>
      <c r="J33" s="64">
        <f t="shared" si="0"/>
        <v>21447</v>
      </c>
      <c r="K33" s="65">
        <f t="shared" si="1"/>
        <v>6648107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v>79908</v>
      </c>
      <c r="E34" s="59">
        <v>7186898</v>
      </c>
      <c r="F34" s="56">
        <f>23036+122</f>
        <v>23158</v>
      </c>
      <c r="G34" s="57">
        <f>4451027+304400</f>
        <v>4755427</v>
      </c>
      <c r="H34" s="58">
        <f>20896+96</f>
        <v>20992</v>
      </c>
      <c r="I34" s="59">
        <f>4167569+263320</f>
        <v>4430889</v>
      </c>
      <c r="J34" s="64">
        <f t="shared" si="0"/>
        <v>82074</v>
      </c>
      <c r="K34" s="65">
        <f t="shared" si="1"/>
        <v>7511436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999</v>
      </c>
      <c r="E35" s="59">
        <v>111393</v>
      </c>
      <c r="F35" s="56">
        <v>1239</v>
      </c>
      <c r="G35" s="57">
        <v>153712</v>
      </c>
      <c r="H35" s="58">
        <v>1319</v>
      </c>
      <c r="I35" s="59">
        <v>167099</v>
      </c>
      <c r="J35" s="64">
        <f t="shared" si="0"/>
        <v>919</v>
      </c>
      <c r="K35" s="65">
        <f t="shared" si="1"/>
        <v>98006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221</v>
      </c>
      <c r="E36" s="59">
        <v>45080</v>
      </c>
      <c r="F36" s="56">
        <v>184</v>
      </c>
      <c r="G36" s="57">
        <v>42240</v>
      </c>
      <c r="H36" s="58">
        <v>205</v>
      </c>
      <c r="I36" s="59">
        <v>45640</v>
      </c>
      <c r="J36" s="64">
        <f t="shared" si="0"/>
        <v>200</v>
      </c>
      <c r="K36" s="65">
        <f t="shared" si="1"/>
        <v>41680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772</v>
      </c>
      <c r="E38" s="59">
        <v>147760</v>
      </c>
      <c r="F38" s="56">
        <v>40</v>
      </c>
      <c r="G38" s="57">
        <v>8000</v>
      </c>
      <c r="H38" s="58">
        <v>30</v>
      </c>
      <c r="I38" s="59">
        <v>6000</v>
      </c>
      <c r="J38" s="64">
        <f t="shared" si="0"/>
        <v>782</v>
      </c>
      <c r="K38" s="65">
        <f t="shared" si="1"/>
        <v>149760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1144</v>
      </c>
      <c r="E39" s="59">
        <v>1258400</v>
      </c>
      <c r="F39" s="56">
        <v>140</v>
      </c>
      <c r="G39" s="57">
        <v>154000</v>
      </c>
      <c r="H39" s="58">
        <v>200</v>
      </c>
      <c r="I39" s="59">
        <v>220000</v>
      </c>
      <c r="J39" s="64">
        <f t="shared" si="0"/>
        <v>1084</v>
      </c>
      <c r="K39" s="65">
        <f t="shared" si="1"/>
        <v>1192400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9525</v>
      </c>
      <c r="E42" s="59">
        <v>2628865</v>
      </c>
      <c r="F42" s="56">
        <v>12288</v>
      </c>
      <c r="G42" s="57">
        <v>3630649</v>
      </c>
      <c r="H42" s="58">
        <v>12701</v>
      </c>
      <c r="I42" s="59">
        <v>3603448</v>
      </c>
      <c r="J42" s="64">
        <f t="shared" si="0"/>
        <v>9112</v>
      </c>
      <c r="K42" s="65">
        <f t="shared" si="1"/>
        <v>2656066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6697</v>
      </c>
      <c r="E43" s="59">
        <v>1850349</v>
      </c>
      <c r="F43" s="56">
        <v>6252</v>
      </c>
      <c r="G43" s="57">
        <v>1912863</v>
      </c>
      <c r="H43" s="58">
        <v>7548</v>
      </c>
      <c r="I43" s="59">
        <v>2106222</v>
      </c>
      <c r="J43" s="64">
        <f t="shared" si="0"/>
        <v>5401</v>
      </c>
      <c r="K43" s="65">
        <f t="shared" si="1"/>
        <v>1656990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77</v>
      </c>
      <c r="E44" s="59">
        <v>113700</v>
      </c>
      <c r="F44" s="56">
        <v>1</v>
      </c>
      <c r="G44" s="57">
        <v>1500</v>
      </c>
      <c r="H44" s="58">
        <v>1</v>
      </c>
      <c r="I44" s="59">
        <v>1500</v>
      </c>
      <c r="J44" s="64">
        <f t="shared" si="0"/>
        <v>77</v>
      </c>
      <c r="K44" s="65">
        <f t="shared" si="1"/>
        <v>113700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6677</v>
      </c>
      <c r="E45" s="59">
        <v>3078321</v>
      </c>
      <c r="F45" s="56">
        <v>3505</v>
      </c>
      <c r="G45" s="57">
        <v>720498</v>
      </c>
      <c r="H45" s="58">
        <v>2414</v>
      </c>
      <c r="I45" s="59">
        <v>302853</v>
      </c>
      <c r="J45" s="64">
        <f t="shared" si="0"/>
        <v>7768</v>
      </c>
      <c r="K45" s="65">
        <f t="shared" si="1"/>
        <v>3495966</v>
      </c>
      <c r="L45" s="71"/>
    </row>
    <row r="46" spans="2:12" ht="20.25" customHeight="1">
      <c r="B46" s="21">
        <v>37</v>
      </c>
      <c r="C46" s="22" t="s">
        <v>41</v>
      </c>
      <c r="D46" s="44">
        <v>3550</v>
      </c>
      <c r="E46" s="45">
        <v>621691</v>
      </c>
      <c r="F46" s="46">
        <v>3468</v>
      </c>
      <c r="G46" s="47">
        <v>623100</v>
      </c>
      <c r="H46" s="48">
        <v>2559</v>
      </c>
      <c r="I46" s="45">
        <v>444109</v>
      </c>
      <c r="J46" s="32">
        <f t="shared" si="0"/>
        <v>4459</v>
      </c>
      <c r="K46" s="33">
        <f t="shared" si="1"/>
        <v>800682</v>
      </c>
      <c r="L46" s="34"/>
    </row>
    <row r="47" spans="2:12" ht="32.25" customHeight="1">
      <c r="B47" s="21">
        <v>38</v>
      </c>
      <c r="C47" s="22" t="s">
        <v>42</v>
      </c>
      <c r="D47" s="44">
        <v>6800</v>
      </c>
      <c r="E47" s="45">
        <v>3505067</v>
      </c>
      <c r="F47" s="46">
        <v>2452</v>
      </c>
      <c r="G47" s="47">
        <v>3953260</v>
      </c>
      <c r="H47" s="48">
        <f>2417+2</f>
        <v>2419</v>
      </c>
      <c r="I47" s="45">
        <f>3897682+8000</f>
        <v>3905682</v>
      </c>
      <c r="J47" s="32">
        <f t="shared" si="0"/>
        <v>6833</v>
      </c>
      <c r="K47" s="33">
        <f t="shared" si="1"/>
        <v>3552645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5532</v>
      </c>
      <c r="E49" s="50">
        <v>1721659</v>
      </c>
      <c r="F49" s="51">
        <v>3857</v>
      </c>
      <c r="G49" s="52">
        <v>1067687</v>
      </c>
      <c r="H49" s="53">
        <v>3958</v>
      </c>
      <c r="I49" s="50">
        <v>1021978</v>
      </c>
      <c r="J49" s="35">
        <f>D49+F49-H49</f>
        <v>5431</v>
      </c>
      <c r="K49" s="36">
        <f>E49+G49-I49</f>
        <v>1767368</v>
      </c>
      <c r="L49" s="37"/>
    </row>
    <row r="50" spans="2:12" ht="21" customHeight="1" thickBot="1" thickTop="1">
      <c r="B50" s="140" t="s">
        <v>46</v>
      </c>
      <c r="C50" s="141"/>
      <c r="D50" s="67">
        <f aca="true" t="shared" si="2" ref="D50:I50">SUM(D10:D49)</f>
        <v>246137</v>
      </c>
      <c r="E50" s="66">
        <f t="shared" si="2"/>
        <v>64448038</v>
      </c>
      <c r="F50" s="68">
        <f t="shared" si="2"/>
        <v>95683</v>
      </c>
      <c r="G50" s="69">
        <f t="shared" si="2"/>
        <v>33644884</v>
      </c>
      <c r="H50" s="68">
        <f t="shared" si="2"/>
        <v>95271</v>
      </c>
      <c r="I50" s="69">
        <f t="shared" si="2"/>
        <v>33262736</v>
      </c>
      <c r="J50" s="70">
        <f t="shared" si="0"/>
        <v>246549</v>
      </c>
      <c r="K50" s="69">
        <f t="shared" si="1"/>
        <v>64830186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2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M54" sqref="M5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14756</v>
      </c>
      <c r="E10" s="116">
        <f>'９月'!K10</f>
        <v>2980049</v>
      </c>
      <c r="F10" s="119">
        <v>5405</v>
      </c>
      <c r="G10" s="118">
        <v>1018027</v>
      </c>
      <c r="H10" s="117">
        <v>2538</v>
      </c>
      <c r="I10" s="116">
        <v>360175</v>
      </c>
      <c r="J10" s="115">
        <f aca="true" t="shared" si="0" ref="J10:K50">D10+F10-H10</f>
        <v>17623</v>
      </c>
      <c r="K10" s="114">
        <f t="shared" si="0"/>
        <v>3637901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1029</v>
      </c>
      <c r="E11" s="116">
        <f>'９月'!K11</f>
        <v>111330</v>
      </c>
      <c r="F11" s="105">
        <v>400</v>
      </c>
      <c r="G11" s="104">
        <v>60000</v>
      </c>
      <c r="H11" s="103">
        <v>360</v>
      </c>
      <c r="I11" s="102">
        <v>54000</v>
      </c>
      <c r="J11" s="101">
        <f t="shared" si="0"/>
        <v>1069</v>
      </c>
      <c r="K11" s="100">
        <f t="shared" si="0"/>
        <v>117330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206</v>
      </c>
      <c r="E12" s="116">
        <f>'９月'!K12</f>
        <v>27089</v>
      </c>
      <c r="F12" s="105">
        <v>0</v>
      </c>
      <c r="G12" s="104">
        <v>0</v>
      </c>
      <c r="H12" s="103">
        <v>2</v>
      </c>
      <c r="I12" s="102">
        <v>299</v>
      </c>
      <c r="J12" s="101">
        <f t="shared" si="0"/>
        <v>204</v>
      </c>
      <c r="K12" s="100">
        <f t="shared" si="0"/>
        <v>26790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6937</v>
      </c>
      <c r="E13" s="116">
        <f>'９月'!K13</f>
        <v>1679155</v>
      </c>
      <c r="F13" s="105">
        <v>557</v>
      </c>
      <c r="G13" s="104">
        <v>162210</v>
      </c>
      <c r="H13" s="103">
        <v>795</v>
      </c>
      <c r="I13" s="102">
        <v>162374</v>
      </c>
      <c r="J13" s="101">
        <f t="shared" si="0"/>
        <v>6699</v>
      </c>
      <c r="K13" s="100">
        <f t="shared" si="0"/>
        <v>1678991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669</v>
      </c>
      <c r="E17" s="116">
        <f>'９月'!K17</f>
        <v>2391743</v>
      </c>
      <c r="F17" s="105">
        <v>6</v>
      </c>
      <c r="G17" s="104">
        <v>24028</v>
      </c>
      <c r="H17" s="103">
        <v>242</v>
      </c>
      <c r="I17" s="102">
        <v>794354</v>
      </c>
      <c r="J17" s="101">
        <f t="shared" si="0"/>
        <v>433</v>
      </c>
      <c r="K17" s="100">
        <f t="shared" si="0"/>
        <v>1621417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114</v>
      </c>
      <c r="E18" s="116">
        <f>'９月'!K18</f>
        <v>17730</v>
      </c>
      <c r="F18" s="105">
        <v>114</v>
      </c>
      <c r="G18" s="104">
        <v>14536</v>
      </c>
      <c r="H18" s="103">
        <v>96</v>
      </c>
      <c r="I18" s="102">
        <v>11134</v>
      </c>
      <c r="J18" s="101">
        <f t="shared" si="0"/>
        <v>132</v>
      </c>
      <c r="K18" s="100">
        <f t="shared" si="0"/>
        <v>21132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0</v>
      </c>
      <c r="E20" s="116">
        <f>'９月'!K20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7500</v>
      </c>
      <c r="E22" s="116">
        <f>'９月'!K22</f>
        <v>1012867</v>
      </c>
      <c r="F22" s="105">
        <v>2694</v>
      </c>
      <c r="G22" s="104">
        <v>345100</v>
      </c>
      <c r="H22" s="103">
        <v>2990</v>
      </c>
      <c r="I22" s="102">
        <v>393320</v>
      </c>
      <c r="J22" s="101">
        <f t="shared" si="0"/>
        <v>7204</v>
      </c>
      <c r="K22" s="100">
        <f t="shared" si="0"/>
        <v>964647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2440</v>
      </c>
      <c r="E23" s="116">
        <f>'９月'!K23</f>
        <v>2493556</v>
      </c>
      <c r="F23" s="74">
        <v>1104</v>
      </c>
      <c r="G23" s="111">
        <v>1655850</v>
      </c>
      <c r="H23" s="110">
        <v>1094</v>
      </c>
      <c r="I23" s="109">
        <v>1571803</v>
      </c>
      <c r="J23" s="108">
        <f t="shared" si="0"/>
        <v>2450</v>
      </c>
      <c r="K23" s="107">
        <f t="shared" si="0"/>
        <v>2577603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25523</v>
      </c>
      <c r="E24" s="116">
        <f>'９月'!K24</f>
        <v>3207618</v>
      </c>
      <c r="F24" s="105">
        <v>1280</v>
      </c>
      <c r="G24" s="104">
        <v>1650791</v>
      </c>
      <c r="H24" s="103">
        <v>1252</v>
      </c>
      <c r="I24" s="102">
        <v>1679487</v>
      </c>
      <c r="J24" s="101">
        <f t="shared" si="0"/>
        <v>25551</v>
      </c>
      <c r="K24" s="100">
        <f t="shared" si="0"/>
        <v>3178922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8826</v>
      </c>
      <c r="E25" s="116">
        <f>'９月'!K25</f>
        <v>3998045</v>
      </c>
      <c r="F25" s="105">
        <f>13+4773</f>
        <v>4786</v>
      </c>
      <c r="G25" s="104">
        <f>36300+1207505</f>
        <v>1243805</v>
      </c>
      <c r="H25" s="103">
        <f>23+5835</f>
        <v>5858</v>
      </c>
      <c r="I25" s="102">
        <f>68534+1599990</f>
        <v>1668524</v>
      </c>
      <c r="J25" s="101">
        <f t="shared" si="0"/>
        <v>7754</v>
      </c>
      <c r="K25" s="100">
        <f t="shared" si="0"/>
        <v>3573326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18475</v>
      </c>
      <c r="E26" s="116">
        <f>'９月'!K26</f>
        <v>8011147</v>
      </c>
      <c r="F26" s="105">
        <v>7420</v>
      </c>
      <c r="G26" s="104">
        <v>2514357</v>
      </c>
      <c r="H26" s="103">
        <v>6528</v>
      </c>
      <c r="I26" s="102">
        <v>2272594</v>
      </c>
      <c r="J26" s="101">
        <f t="shared" si="0"/>
        <v>19367</v>
      </c>
      <c r="K26" s="100">
        <f t="shared" si="0"/>
        <v>8252910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2772</v>
      </c>
      <c r="E27" s="116">
        <f>'９月'!K27</f>
        <v>422250</v>
      </c>
      <c r="F27" s="105">
        <v>713</v>
      </c>
      <c r="G27" s="104">
        <v>139800</v>
      </c>
      <c r="H27" s="103">
        <v>688</v>
      </c>
      <c r="I27" s="102">
        <v>129300</v>
      </c>
      <c r="J27" s="101">
        <f t="shared" si="0"/>
        <v>2797</v>
      </c>
      <c r="K27" s="100">
        <f t="shared" si="0"/>
        <v>432750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460</v>
      </c>
      <c r="E28" s="116">
        <f>'９月'!K28</f>
        <v>50600</v>
      </c>
      <c r="F28" s="105">
        <v>1260</v>
      </c>
      <c r="G28" s="104">
        <v>138600</v>
      </c>
      <c r="H28" s="103">
        <v>1170</v>
      </c>
      <c r="I28" s="102">
        <v>128700</v>
      </c>
      <c r="J28" s="101">
        <f t="shared" si="0"/>
        <v>550</v>
      </c>
      <c r="K28" s="100">
        <f t="shared" si="0"/>
        <v>60500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1208</v>
      </c>
      <c r="E29" s="116">
        <f>'９月'!K29</f>
        <v>417725</v>
      </c>
      <c r="F29" s="74">
        <f>71+54</f>
        <v>125</v>
      </c>
      <c r="G29" s="111">
        <f>122558+10800</f>
        <v>133358</v>
      </c>
      <c r="H29" s="110">
        <f>78+45</f>
        <v>123</v>
      </c>
      <c r="I29" s="109">
        <f>117808+9000</f>
        <v>126808</v>
      </c>
      <c r="J29" s="108">
        <f t="shared" si="0"/>
        <v>1210</v>
      </c>
      <c r="K29" s="107">
        <f t="shared" si="0"/>
        <v>424275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1341</v>
      </c>
      <c r="E30" s="116">
        <f>'９月'!K30</f>
        <v>801018</v>
      </c>
      <c r="F30" s="112">
        <f>289+498</f>
        <v>787</v>
      </c>
      <c r="G30" s="111">
        <f>90428+230463</f>
        <v>320891</v>
      </c>
      <c r="H30" s="110">
        <f>428+373</f>
        <v>801</v>
      </c>
      <c r="I30" s="109">
        <f>103246+200772</f>
        <v>304018</v>
      </c>
      <c r="J30" s="108">
        <f t="shared" si="0"/>
        <v>1327</v>
      </c>
      <c r="K30" s="107">
        <f t="shared" si="0"/>
        <v>817891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5</v>
      </c>
      <c r="E32" s="116">
        <f>'９月'!K32</f>
        <v>4585</v>
      </c>
      <c r="F32" s="112">
        <v>0</v>
      </c>
      <c r="G32" s="111">
        <v>0</v>
      </c>
      <c r="H32" s="110">
        <v>5</v>
      </c>
      <c r="I32" s="109">
        <v>4585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28399</v>
      </c>
      <c r="E33" s="116">
        <f>'９月'!K33</f>
        <v>9476870</v>
      </c>
      <c r="F33" s="112">
        <v>19735</v>
      </c>
      <c r="G33" s="111">
        <v>7346726</v>
      </c>
      <c r="H33" s="72">
        <v>20624</v>
      </c>
      <c r="I33" s="109">
        <v>7199256</v>
      </c>
      <c r="J33" s="108">
        <f t="shared" si="0"/>
        <v>27510</v>
      </c>
      <c r="K33" s="107">
        <f t="shared" si="0"/>
        <v>9624340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85671</v>
      </c>
      <c r="E34" s="116">
        <f>'９月'!K34</f>
        <v>8186175</v>
      </c>
      <c r="F34" s="112">
        <f>155+28567</f>
        <v>28722</v>
      </c>
      <c r="G34" s="111">
        <f>354300+4946905</f>
        <v>5301205</v>
      </c>
      <c r="H34" s="110">
        <f>156+33395</f>
        <v>33551</v>
      </c>
      <c r="I34" s="109">
        <f>368745+5958754</f>
        <v>6327499</v>
      </c>
      <c r="J34" s="108">
        <f t="shared" si="0"/>
        <v>80842</v>
      </c>
      <c r="K34" s="107">
        <f t="shared" si="0"/>
        <v>7159881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1391</v>
      </c>
      <c r="E35" s="116">
        <f>'９月'!K35</f>
        <v>128381</v>
      </c>
      <c r="F35" s="112">
        <v>985</v>
      </c>
      <c r="G35" s="111">
        <v>85090</v>
      </c>
      <c r="H35" s="110">
        <v>897</v>
      </c>
      <c r="I35" s="109">
        <v>74359</v>
      </c>
      <c r="J35" s="108">
        <f t="shared" si="0"/>
        <v>1479</v>
      </c>
      <c r="K35" s="107">
        <f t="shared" si="0"/>
        <v>139112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247</v>
      </c>
      <c r="E36" s="116">
        <f>'９月'!K36</f>
        <v>952070</v>
      </c>
      <c r="F36" s="112">
        <v>308</v>
      </c>
      <c r="G36" s="111">
        <v>162050</v>
      </c>
      <c r="H36" s="110">
        <v>249</v>
      </c>
      <c r="I36" s="109">
        <v>157300</v>
      </c>
      <c r="J36" s="108">
        <f t="shared" si="0"/>
        <v>306</v>
      </c>
      <c r="K36" s="107">
        <f t="shared" si="0"/>
        <v>956820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705</v>
      </c>
      <c r="E38" s="116">
        <f>'９月'!K38</f>
        <v>2131120</v>
      </c>
      <c r="F38" s="112">
        <v>73</v>
      </c>
      <c r="G38" s="111">
        <v>94970</v>
      </c>
      <c r="H38" s="110">
        <v>74</v>
      </c>
      <c r="I38" s="109">
        <v>148640</v>
      </c>
      <c r="J38" s="108">
        <f t="shared" si="0"/>
        <v>704</v>
      </c>
      <c r="K38" s="107">
        <f t="shared" si="0"/>
        <v>2077450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1444</v>
      </c>
      <c r="E39" s="116">
        <f>'９月'!K39</f>
        <v>1588400</v>
      </c>
      <c r="F39" s="112">
        <v>200</v>
      </c>
      <c r="G39" s="111">
        <v>220000</v>
      </c>
      <c r="H39" s="110">
        <v>200</v>
      </c>
      <c r="I39" s="109">
        <v>220000</v>
      </c>
      <c r="J39" s="108">
        <f t="shared" si="0"/>
        <v>1444</v>
      </c>
      <c r="K39" s="107">
        <f t="shared" si="0"/>
        <v>1588400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8064</v>
      </c>
      <c r="E42" s="116">
        <f>'９月'!K42</f>
        <v>2769472</v>
      </c>
      <c r="F42" s="112">
        <v>12723</v>
      </c>
      <c r="G42" s="111">
        <v>3608128</v>
      </c>
      <c r="H42" s="110">
        <v>12793</v>
      </c>
      <c r="I42" s="109">
        <v>3593027</v>
      </c>
      <c r="J42" s="108">
        <f t="shared" si="0"/>
        <v>7994</v>
      </c>
      <c r="K42" s="107">
        <f t="shared" si="0"/>
        <v>2784573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6256</v>
      </c>
      <c r="E43" s="116">
        <f>'９月'!K43</f>
        <v>1944889</v>
      </c>
      <c r="F43" s="112">
        <v>10063</v>
      </c>
      <c r="G43" s="111">
        <v>3241266</v>
      </c>
      <c r="H43" s="110">
        <v>9764</v>
      </c>
      <c r="I43" s="109">
        <v>3107759</v>
      </c>
      <c r="J43" s="108">
        <f t="shared" si="0"/>
        <v>6555</v>
      </c>
      <c r="K43" s="107">
        <f t="shared" si="0"/>
        <v>2078396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44</v>
      </c>
      <c r="E44" s="116">
        <f>'９月'!K44</f>
        <v>64350</v>
      </c>
      <c r="F44" s="112">
        <v>21</v>
      </c>
      <c r="G44" s="111">
        <v>30211</v>
      </c>
      <c r="H44" s="110">
        <v>26</v>
      </c>
      <c r="I44" s="109">
        <v>37501</v>
      </c>
      <c r="J44" s="108">
        <f t="shared" si="0"/>
        <v>39</v>
      </c>
      <c r="K44" s="107">
        <f t="shared" si="0"/>
        <v>57060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13218</v>
      </c>
      <c r="E45" s="116">
        <f>'９月'!K45</f>
        <v>4022660</v>
      </c>
      <c r="F45" s="112">
        <v>7707</v>
      </c>
      <c r="G45" s="111">
        <v>811114</v>
      </c>
      <c r="H45" s="110">
        <v>7948</v>
      </c>
      <c r="I45" s="109">
        <v>1447097</v>
      </c>
      <c r="J45" s="108">
        <f t="shared" si="0"/>
        <v>12977</v>
      </c>
      <c r="K45" s="107">
        <f t="shared" si="0"/>
        <v>3386677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8132</v>
      </c>
      <c r="E46" s="116">
        <f>'９月'!K46</f>
        <v>1585823</v>
      </c>
      <c r="F46" s="105">
        <v>4539</v>
      </c>
      <c r="G46" s="104">
        <v>879353</v>
      </c>
      <c r="H46" s="103">
        <v>5426</v>
      </c>
      <c r="I46" s="102">
        <v>976417</v>
      </c>
      <c r="J46" s="101">
        <f t="shared" si="0"/>
        <v>7245</v>
      </c>
      <c r="K46" s="100">
        <f t="shared" si="0"/>
        <v>1488759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15286</v>
      </c>
      <c r="E47" s="116">
        <f>'９月'!K47</f>
        <v>2932217</v>
      </c>
      <c r="F47" s="105">
        <v>2520</v>
      </c>
      <c r="G47" s="104">
        <v>1262396</v>
      </c>
      <c r="H47" s="103">
        <v>2349</v>
      </c>
      <c r="I47" s="102">
        <v>1259898</v>
      </c>
      <c r="J47" s="101">
        <f t="shared" si="0"/>
        <v>15457</v>
      </c>
      <c r="K47" s="100">
        <f t="shared" si="0"/>
        <v>2934715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7452</v>
      </c>
      <c r="E49" s="97">
        <f>'９月'!K49</f>
        <v>2151639</v>
      </c>
      <c r="F49" s="98">
        <v>5721</v>
      </c>
      <c r="G49" s="97">
        <v>1535462</v>
      </c>
      <c r="H49" s="96">
        <v>6316</v>
      </c>
      <c r="I49" s="95">
        <v>1436137</v>
      </c>
      <c r="J49" s="94">
        <f t="shared" si="0"/>
        <v>6857</v>
      </c>
      <c r="K49" s="93">
        <f t="shared" si="0"/>
        <v>2250964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268570</v>
      </c>
      <c r="E50" s="90">
        <f t="shared" si="1"/>
        <v>65560573</v>
      </c>
      <c r="F50" s="89">
        <f t="shared" si="1"/>
        <v>119968</v>
      </c>
      <c r="G50" s="87">
        <f t="shared" si="1"/>
        <v>33999324</v>
      </c>
      <c r="H50" s="89">
        <f t="shared" si="1"/>
        <v>124759</v>
      </c>
      <c r="I50" s="87">
        <f t="shared" si="1"/>
        <v>35646365</v>
      </c>
      <c r="J50" s="88">
        <f t="shared" si="0"/>
        <v>263779</v>
      </c>
      <c r="K50" s="87">
        <f t="shared" si="0"/>
        <v>63913532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P48" sqref="P48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17623</v>
      </c>
      <c r="E10" s="116">
        <f>'１０月'!K10</f>
        <v>3637901</v>
      </c>
      <c r="F10" s="119">
        <v>2954</v>
      </c>
      <c r="G10" s="118">
        <v>418014</v>
      </c>
      <c r="H10" s="117">
        <v>2982</v>
      </c>
      <c r="I10" s="116">
        <v>499982</v>
      </c>
      <c r="J10" s="115">
        <f aca="true" t="shared" si="0" ref="J10:K50">D10+F10-H10</f>
        <v>17595</v>
      </c>
      <c r="K10" s="114">
        <f t="shared" si="0"/>
        <v>3555933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1069</v>
      </c>
      <c r="E11" s="116">
        <f>'１０月'!K11</f>
        <v>117330</v>
      </c>
      <c r="F11" s="105">
        <v>400</v>
      </c>
      <c r="G11" s="104">
        <v>60000</v>
      </c>
      <c r="H11" s="103">
        <v>300</v>
      </c>
      <c r="I11" s="102">
        <v>45000</v>
      </c>
      <c r="J11" s="101">
        <f t="shared" si="0"/>
        <v>1169</v>
      </c>
      <c r="K11" s="100">
        <f t="shared" si="0"/>
        <v>132330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204</v>
      </c>
      <c r="E12" s="116">
        <f>'１０月'!K12</f>
        <v>26790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204</v>
      </c>
      <c r="K12" s="100">
        <f t="shared" si="0"/>
        <v>26790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6699</v>
      </c>
      <c r="E13" s="116">
        <f>'１０月'!K13</f>
        <v>1678991</v>
      </c>
      <c r="F13" s="105">
        <v>452</v>
      </c>
      <c r="G13" s="104">
        <v>83426</v>
      </c>
      <c r="H13" s="103">
        <v>549</v>
      </c>
      <c r="I13" s="102">
        <v>135430</v>
      </c>
      <c r="J13" s="101">
        <f t="shared" si="0"/>
        <v>6602</v>
      </c>
      <c r="K13" s="100">
        <f t="shared" si="0"/>
        <v>1626987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433</v>
      </c>
      <c r="E17" s="116">
        <f>'１０月'!K17</f>
        <v>1621417</v>
      </c>
      <c r="F17" s="105">
        <v>32</v>
      </c>
      <c r="G17" s="104">
        <v>40910</v>
      </c>
      <c r="H17" s="103">
        <v>11</v>
      </c>
      <c r="I17" s="102">
        <v>65641</v>
      </c>
      <c r="J17" s="101">
        <f t="shared" si="0"/>
        <v>454</v>
      </c>
      <c r="K17" s="100">
        <f t="shared" si="0"/>
        <v>1596686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132</v>
      </c>
      <c r="E18" s="116">
        <f>'１０月'!K18</f>
        <v>21132</v>
      </c>
      <c r="F18" s="105">
        <v>2315</v>
      </c>
      <c r="G18" s="104">
        <v>421869</v>
      </c>
      <c r="H18" s="103">
        <v>2052</v>
      </c>
      <c r="I18" s="102">
        <v>372558</v>
      </c>
      <c r="J18" s="101">
        <f t="shared" si="0"/>
        <v>395</v>
      </c>
      <c r="K18" s="100">
        <f t="shared" si="0"/>
        <v>70443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0</v>
      </c>
      <c r="E20" s="116">
        <f>'１０月'!K20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7204</v>
      </c>
      <c r="E22" s="116">
        <f>'１０月'!K22</f>
        <v>964647</v>
      </c>
      <c r="F22" s="105">
        <v>4533</v>
      </c>
      <c r="G22" s="104">
        <v>518534</v>
      </c>
      <c r="H22" s="103">
        <v>4924</v>
      </c>
      <c r="I22" s="102">
        <v>565460</v>
      </c>
      <c r="J22" s="101">
        <f t="shared" si="0"/>
        <v>6813</v>
      </c>
      <c r="K22" s="100">
        <f t="shared" si="0"/>
        <v>917721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2450</v>
      </c>
      <c r="E23" s="116">
        <f>'１０月'!K23</f>
        <v>2577603</v>
      </c>
      <c r="F23" s="112">
        <v>1249</v>
      </c>
      <c r="G23" s="111">
        <v>1963800</v>
      </c>
      <c r="H23" s="110">
        <v>1149</v>
      </c>
      <c r="I23" s="109">
        <v>1739349</v>
      </c>
      <c r="J23" s="108">
        <f t="shared" si="0"/>
        <v>2550</v>
      </c>
      <c r="K23" s="107">
        <f t="shared" si="0"/>
        <v>2802054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25551</v>
      </c>
      <c r="E24" s="116">
        <f>'１０月'!K24</f>
        <v>3178922</v>
      </c>
      <c r="F24" s="105">
        <v>1337</v>
      </c>
      <c r="G24" s="104">
        <v>1629278</v>
      </c>
      <c r="H24" s="103">
        <v>1248</v>
      </c>
      <c r="I24" s="102">
        <v>1506304</v>
      </c>
      <c r="J24" s="101">
        <f t="shared" si="0"/>
        <v>25640</v>
      </c>
      <c r="K24" s="100">
        <f t="shared" si="0"/>
        <v>3301896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7754</v>
      </c>
      <c r="E25" s="116">
        <f>'１０月'!K25</f>
        <v>3573326</v>
      </c>
      <c r="F25" s="105">
        <f>13+4870</f>
        <v>4883</v>
      </c>
      <c r="G25" s="104">
        <f>36000+1126941</f>
        <v>1162941</v>
      </c>
      <c r="H25" s="103">
        <f>30+5496</f>
        <v>5526</v>
      </c>
      <c r="I25" s="102">
        <f>85062+1380374</f>
        <v>1465436</v>
      </c>
      <c r="J25" s="101">
        <f t="shared" si="0"/>
        <v>7111</v>
      </c>
      <c r="K25" s="100">
        <f t="shared" si="0"/>
        <v>3270831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19367</v>
      </c>
      <c r="E26" s="116">
        <f>'１０月'!K26</f>
        <v>8252910</v>
      </c>
      <c r="F26" s="105">
        <v>6750</v>
      </c>
      <c r="G26" s="104">
        <v>1334355</v>
      </c>
      <c r="H26" s="103">
        <v>6412</v>
      </c>
      <c r="I26" s="102">
        <v>1263917</v>
      </c>
      <c r="J26" s="101">
        <f t="shared" si="0"/>
        <v>19705</v>
      </c>
      <c r="K26" s="100">
        <f t="shared" si="0"/>
        <v>8323348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2797</v>
      </c>
      <c r="E27" s="116">
        <f>'１０月'!K27</f>
        <v>432750</v>
      </c>
      <c r="F27" s="105">
        <v>303</v>
      </c>
      <c r="G27" s="104">
        <v>64750</v>
      </c>
      <c r="H27" s="103">
        <v>305</v>
      </c>
      <c r="I27" s="102">
        <v>57400</v>
      </c>
      <c r="J27" s="101">
        <f t="shared" si="0"/>
        <v>2795</v>
      </c>
      <c r="K27" s="100">
        <f t="shared" si="0"/>
        <v>440100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550</v>
      </c>
      <c r="E28" s="116">
        <f>'１０月'!K28</f>
        <v>60500</v>
      </c>
      <c r="F28" s="105">
        <v>1120</v>
      </c>
      <c r="G28" s="104">
        <v>123200</v>
      </c>
      <c r="H28" s="103">
        <v>1270</v>
      </c>
      <c r="I28" s="102">
        <v>139700</v>
      </c>
      <c r="J28" s="101">
        <f t="shared" si="0"/>
        <v>400</v>
      </c>
      <c r="K28" s="100">
        <f t="shared" si="0"/>
        <v>44000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1210</v>
      </c>
      <c r="E29" s="116">
        <f>'１０月'!K29</f>
        <v>424275</v>
      </c>
      <c r="F29" s="74">
        <f>100+54</f>
        <v>154</v>
      </c>
      <c r="G29" s="111">
        <f>138842+10800</f>
        <v>149642</v>
      </c>
      <c r="H29" s="110">
        <f>80+54</f>
        <v>134</v>
      </c>
      <c r="I29" s="109">
        <f>118324+10800</f>
        <v>129124</v>
      </c>
      <c r="J29" s="108">
        <f t="shared" si="0"/>
        <v>1230</v>
      </c>
      <c r="K29" s="107">
        <f t="shared" si="0"/>
        <v>444793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1327</v>
      </c>
      <c r="E30" s="116">
        <f>'１０月'!K30</f>
        <v>817891</v>
      </c>
      <c r="F30" s="112">
        <f>172+458</f>
        <v>630</v>
      </c>
      <c r="G30" s="111">
        <f>91290+161079</f>
        <v>252369</v>
      </c>
      <c r="H30" s="110">
        <f>169+362</f>
        <v>531</v>
      </c>
      <c r="I30" s="109">
        <f>92090+149589</f>
        <v>241679</v>
      </c>
      <c r="J30" s="108">
        <f t="shared" si="0"/>
        <v>1426</v>
      </c>
      <c r="K30" s="107">
        <f t="shared" si="0"/>
        <v>828581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0</v>
      </c>
      <c r="E32" s="116">
        <f>'１０月'!K32</f>
        <v>0</v>
      </c>
      <c r="F32" s="112">
        <v>7</v>
      </c>
      <c r="G32" s="111">
        <v>6488</v>
      </c>
      <c r="H32" s="110">
        <v>7</v>
      </c>
      <c r="I32" s="109">
        <v>6488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27510</v>
      </c>
      <c r="E33" s="116">
        <f>'１０月'!K33</f>
        <v>9624340</v>
      </c>
      <c r="F33" s="112">
        <v>18156</v>
      </c>
      <c r="G33" s="111">
        <v>6848153</v>
      </c>
      <c r="H33" s="72">
        <v>18376</v>
      </c>
      <c r="I33" s="109">
        <v>6793730</v>
      </c>
      <c r="J33" s="108">
        <f t="shared" si="0"/>
        <v>27290</v>
      </c>
      <c r="K33" s="107">
        <f t="shared" si="0"/>
        <v>9678763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80842</v>
      </c>
      <c r="E34" s="116">
        <f>'１０月'!K34</f>
        <v>7159881</v>
      </c>
      <c r="F34" s="112">
        <f>159+26068</f>
        <v>26227</v>
      </c>
      <c r="G34" s="111">
        <f>366300+8985770</f>
        <v>9352070</v>
      </c>
      <c r="H34" s="110">
        <f>162+26371</f>
        <v>26533</v>
      </c>
      <c r="I34" s="109">
        <f>371098+3812605</f>
        <v>4183703</v>
      </c>
      <c r="J34" s="108">
        <f t="shared" si="0"/>
        <v>80536</v>
      </c>
      <c r="K34" s="107">
        <f t="shared" si="0"/>
        <v>12328248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1479</v>
      </c>
      <c r="E35" s="116">
        <f>'１０月'!K35</f>
        <v>139112</v>
      </c>
      <c r="F35" s="112">
        <v>1017</v>
      </c>
      <c r="G35" s="111">
        <v>97140</v>
      </c>
      <c r="H35" s="110">
        <v>1013</v>
      </c>
      <c r="I35" s="109">
        <v>99395</v>
      </c>
      <c r="J35" s="108">
        <f t="shared" si="0"/>
        <v>1483</v>
      </c>
      <c r="K35" s="107">
        <f t="shared" si="0"/>
        <v>136857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306</v>
      </c>
      <c r="E36" s="116">
        <f>'１０月'!K36</f>
        <v>956820</v>
      </c>
      <c r="F36" s="112">
        <v>302</v>
      </c>
      <c r="G36" s="111">
        <v>243340</v>
      </c>
      <c r="H36" s="110">
        <v>287</v>
      </c>
      <c r="I36" s="109">
        <v>435210</v>
      </c>
      <c r="J36" s="108">
        <f t="shared" si="0"/>
        <v>321</v>
      </c>
      <c r="K36" s="107">
        <f t="shared" si="0"/>
        <v>764950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704</v>
      </c>
      <c r="E38" s="116">
        <f>'１０月'!K38</f>
        <v>2077450</v>
      </c>
      <c r="F38" s="112">
        <v>42</v>
      </c>
      <c r="G38" s="111">
        <v>76130</v>
      </c>
      <c r="H38" s="110">
        <v>40</v>
      </c>
      <c r="I38" s="109">
        <v>114000</v>
      </c>
      <c r="J38" s="108">
        <f t="shared" si="0"/>
        <v>706</v>
      </c>
      <c r="K38" s="107">
        <f t="shared" si="0"/>
        <v>2039580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1444</v>
      </c>
      <c r="E39" s="116">
        <f>'１０月'!K39</f>
        <v>1588400</v>
      </c>
      <c r="F39" s="112">
        <v>300</v>
      </c>
      <c r="G39" s="111">
        <v>330000</v>
      </c>
      <c r="H39" s="110">
        <v>250</v>
      </c>
      <c r="I39" s="109">
        <v>275000</v>
      </c>
      <c r="J39" s="108">
        <f t="shared" si="0"/>
        <v>1494</v>
      </c>
      <c r="K39" s="107">
        <f t="shared" si="0"/>
        <v>1643400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7994</v>
      </c>
      <c r="E42" s="116">
        <f>'１０月'!K42</f>
        <v>2784573</v>
      </c>
      <c r="F42" s="112">
        <v>13181</v>
      </c>
      <c r="G42" s="111">
        <v>3765730</v>
      </c>
      <c r="H42" s="110">
        <v>11980</v>
      </c>
      <c r="I42" s="109">
        <v>3401772</v>
      </c>
      <c r="J42" s="108">
        <f t="shared" si="0"/>
        <v>9195</v>
      </c>
      <c r="K42" s="107">
        <f t="shared" si="0"/>
        <v>3148531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6555</v>
      </c>
      <c r="E43" s="116">
        <f>'１０月'!K43</f>
        <v>2078396</v>
      </c>
      <c r="F43" s="112">
        <v>9872</v>
      </c>
      <c r="G43" s="111">
        <v>3387894</v>
      </c>
      <c r="H43" s="110">
        <v>9953</v>
      </c>
      <c r="I43" s="109">
        <v>3426215</v>
      </c>
      <c r="J43" s="108">
        <f t="shared" si="0"/>
        <v>6474</v>
      </c>
      <c r="K43" s="107">
        <f t="shared" si="0"/>
        <v>2040075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39</v>
      </c>
      <c r="E44" s="116">
        <f>'１０月'!K44</f>
        <v>57060</v>
      </c>
      <c r="F44" s="112">
        <v>16</v>
      </c>
      <c r="G44" s="111">
        <v>22591</v>
      </c>
      <c r="H44" s="110">
        <v>21</v>
      </c>
      <c r="I44" s="109">
        <v>30001</v>
      </c>
      <c r="J44" s="108">
        <f t="shared" si="0"/>
        <v>34</v>
      </c>
      <c r="K44" s="107">
        <f t="shared" si="0"/>
        <v>49650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12977</v>
      </c>
      <c r="E45" s="116">
        <f>'１０月'!K45</f>
        <v>3386677</v>
      </c>
      <c r="F45" s="112">
        <v>8483</v>
      </c>
      <c r="G45" s="111">
        <v>1348473</v>
      </c>
      <c r="H45" s="110">
        <v>8580</v>
      </c>
      <c r="I45" s="109">
        <v>977931</v>
      </c>
      <c r="J45" s="108">
        <f t="shared" si="0"/>
        <v>12880</v>
      </c>
      <c r="K45" s="107">
        <f t="shared" si="0"/>
        <v>3757219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7245</v>
      </c>
      <c r="E46" s="116">
        <f>'１０月'!K46</f>
        <v>1488759</v>
      </c>
      <c r="F46" s="105">
        <v>4251</v>
      </c>
      <c r="G46" s="104">
        <v>768698</v>
      </c>
      <c r="H46" s="103">
        <v>5983</v>
      </c>
      <c r="I46" s="102">
        <v>1005709</v>
      </c>
      <c r="J46" s="101">
        <f t="shared" si="0"/>
        <v>5513</v>
      </c>
      <c r="K46" s="100">
        <f t="shared" si="0"/>
        <v>1251748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15457</v>
      </c>
      <c r="E47" s="116">
        <f>'１０月'!K47</f>
        <v>2934715</v>
      </c>
      <c r="F47" s="105">
        <v>2578</v>
      </c>
      <c r="G47" s="104">
        <v>672954</v>
      </c>
      <c r="H47" s="103">
        <v>2481</v>
      </c>
      <c r="I47" s="102">
        <v>773564</v>
      </c>
      <c r="J47" s="101">
        <f t="shared" si="0"/>
        <v>15554</v>
      </c>
      <c r="K47" s="100">
        <f t="shared" si="0"/>
        <v>2834105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6857</v>
      </c>
      <c r="E49" s="97">
        <f>'１０月'!K49</f>
        <v>2250964</v>
      </c>
      <c r="F49" s="98">
        <v>5861</v>
      </c>
      <c r="G49" s="97">
        <v>1585439</v>
      </c>
      <c r="H49" s="96">
        <v>5741</v>
      </c>
      <c r="I49" s="95">
        <v>1494372</v>
      </c>
      <c r="J49" s="94">
        <f t="shared" si="0"/>
        <v>6977</v>
      </c>
      <c r="K49" s="93">
        <f t="shared" si="0"/>
        <v>2342031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263779</v>
      </c>
      <c r="E50" s="90">
        <f t="shared" si="1"/>
        <v>63913532</v>
      </c>
      <c r="F50" s="89">
        <f t="shared" si="1"/>
        <v>117405</v>
      </c>
      <c r="G50" s="87">
        <f t="shared" si="1"/>
        <v>36728188</v>
      </c>
      <c r="H50" s="89">
        <f t="shared" si="1"/>
        <v>118638</v>
      </c>
      <c r="I50" s="87">
        <f t="shared" si="1"/>
        <v>31244070</v>
      </c>
      <c r="J50" s="88">
        <f t="shared" si="0"/>
        <v>262546</v>
      </c>
      <c r="K50" s="87">
        <f t="shared" si="0"/>
        <v>69397650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9" ySplit="10" topLeftCell="J49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O56" sqref="O56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17595</v>
      </c>
      <c r="E10" s="116">
        <f>'１１月'!K10</f>
        <v>3555933</v>
      </c>
      <c r="F10" s="119">
        <v>2193</v>
      </c>
      <c r="G10" s="118">
        <v>226782</v>
      </c>
      <c r="H10" s="117">
        <v>2342</v>
      </c>
      <c r="I10" s="116">
        <v>373291</v>
      </c>
      <c r="J10" s="115">
        <f aca="true" t="shared" si="0" ref="J10:K50">D10+F10-H10</f>
        <v>17446</v>
      </c>
      <c r="K10" s="114">
        <f t="shared" si="0"/>
        <v>3409424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1169</v>
      </c>
      <c r="E11" s="116">
        <f>'１１月'!K11</f>
        <v>132330</v>
      </c>
      <c r="F11" s="105">
        <v>200</v>
      </c>
      <c r="G11" s="104">
        <v>30000</v>
      </c>
      <c r="H11" s="103">
        <v>240</v>
      </c>
      <c r="I11" s="102">
        <v>36000</v>
      </c>
      <c r="J11" s="101">
        <f t="shared" si="0"/>
        <v>1129</v>
      </c>
      <c r="K11" s="100">
        <f t="shared" si="0"/>
        <v>126330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204</v>
      </c>
      <c r="E12" s="116">
        <f>'１１月'!K12</f>
        <v>26790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204</v>
      </c>
      <c r="K12" s="100">
        <f t="shared" si="0"/>
        <v>26790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6602</v>
      </c>
      <c r="E13" s="116">
        <f>'１１月'!K13</f>
        <v>1626987</v>
      </c>
      <c r="F13" s="105">
        <v>874</v>
      </c>
      <c r="G13" s="104">
        <v>209191</v>
      </c>
      <c r="H13" s="103">
        <v>588</v>
      </c>
      <c r="I13" s="102">
        <v>149881</v>
      </c>
      <c r="J13" s="101">
        <f t="shared" si="0"/>
        <v>6888</v>
      </c>
      <c r="K13" s="100">
        <f t="shared" si="0"/>
        <v>1686297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454</v>
      </c>
      <c r="E17" s="116">
        <f>'１１月'!K17</f>
        <v>1596686</v>
      </c>
      <c r="F17" s="105">
        <v>13</v>
      </c>
      <c r="G17" s="104">
        <v>46077</v>
      </c>
      <c r="H17" s="103">
        <v>15</v>
      </c>
      <c r="I17" s="102">
        <v>126648</v>
      </c>
      <c r="J17" s="101">
        <f t="shared" si="0"/>
        <v>452</v>
      </c>
      <c r="K17" s="100">
        <f t="shared" si="0"/>
        <v>1516115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395</v>
      </c>
      <c r="E18" s="116">
        <f>'１１月'!K18</f>
        <v>70443</v>
      </c>
      <c r="F18" s="105">
        <v>252</v>
      </c>
      <c r="G18" s="104">
        <v>39961</v>
      </c>
      <c r="H18" s="103">
        <v>194</v>
      </c>
      <c r="I18" s="102">
        <v>29340</v>
      </c>
      <c r="J18" s="101">
        <f t="shared" si="0"/>
        <v>453</v>
      </c>
      <c r="K18" s="100">
        <f t="shared" si="0"/>
        <v>81064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0</v>
      </c>
      <c r="E20" s="116">
        <f>'１１月'!K20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6813</v>
      </c>
      <c r="E22" s="116">
        <f>'１１月'!K22</f>
        <v>917721</v>
      </c>
      <c r="F22" s="105">
        <v>3642</v>
      </c>
      <c r="G22" s="104">
        <v>438194</v>
      </c>
      <c r="H22" s="103">
        <v>1843</v>
      </c>
      <c r="I22" s="102">
        <v>239074</v>
      </c>
      <c r="J22" s="101">
        <f t="shared" si="0"/>
        <v>8612</v>
      </c>
      <c r="K22" s="100">
        <f t="shared" si="0"/>
        <v>1116841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2550</v>
      </c>
      <c r="E23" s="116">
        <f>'１１月'!K23</f>
        <v>2802054</v>
      </c>
      <c r="F23" s="112">
        <v>1226</v>
      </c>
      <c r="G23" s="111">
        <v>2135550</v>
      </c>
      <c r="H23" s="110">
        <v>1172</v>
      </c>
      <c r="I23" s="109">
        <v>2369001</v>
      </c>
      <c r="J23" s="108">
        <f t="shared" si="0"/>
        <v>2604</v>
      </c>
      <c r="K23" s="107">
        <f t="shared" si="0"/>
        <v>2568603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25640</v>
      </c>
      <c r="E24" s="116">
        <f>'１１月'!K24</f>
        <v>3301896</v>
      </c>
      <c r="F24" s="105">
        <v>1204</v>
      </c>
      <c r="G24" s="104">
        <v>773766</v>
      </c>
      <c r="H24" s="103">
        <v>1128</v>
      </c>
      <c r="I24" s="102">
        <v>667708</v>
      </c>
      <c r="J24" s="101">
        <f t="shared" si="0"/>
        <v>25716</v>
      </c>
      <c r="K24" s="100">
        <f t="shared" si="0"/>
        <v>3407954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7111</v>
      </c>
      <c r="E25" s="116">
        <f>'１１月'!K25</f>
        <v>3270831</v>
      </c>
      <c r="F25" s="105">
        <f>22+5554</f>
        <v>5576</v>
      </c>
      <c r="G25" s="104">
        <f>59100+1747336</f>
        <v>1806436</v>
      </c>
      <c r="H25" s="103">
        <f>39+5916</f>
        <v>5955</v>
      </c>
      <c r="I25" s="102">
        <f>114379+1660476</f>
        <v>1774855</v>
      </c>
      <c r="J25" s="101">
        <f t="shared" si="0"/>
        <v>6732</v>
      </c>
      <c r="K25" s="100">
        <f t="shared" si="0"/>
        <v>3302412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19705</v>
      </c>
      <c r="E26" s="116">
        <f>'１１月'!K26</f>
        <v>8323348</v>
      </c>
      <c r="F26" s="105">
        <v>6549</v>
      </c>
      <c r="G26" s="104">
        <v>1224079</v>
      </c>
      <c r="H26" s="103">
        <v>6403</v>
      </c>
      <c r="I26" s="102">
        <v>1216659</v>
      </c>
      <c r="J26" s="101">
        <f t="shared" si="0"/>
        <v>19851</v>
      </c>
      <c r="K26" s="100">
        <f t="shared" si="0"/>
        <v>8330768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2795</v>
      </c>
      <c r="E27" s="116">
        <f>'１１月'!K27</f>
        <v>440100</v>
      </c>
      <c r="F27" s="105">
        <v>370</v>
      </c>
      <c r="G27" s="104">
        <v>70250</v>
      </c>
      <c r="H27" s="103">
        <v>413</v>
      </c>
      <c r="I27" s="102">
        <v>83600</v>
      </c>
      <c r="J27" s="101">
        <f t="shared" si="0"/>
        <v>2752</v>
      </c>
      <c r="K27" s="100">
        <f t="shared" si="0"/>
        <v>426750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400</v>
      </c>
      <c r="E28" s="116">
        <f>'１１月'!K28</f>
        <v>44000</v>
      </c>
      <c r="F28" s="105">
        <v>1000</v>
      </c>
      <c r="G28" s="104">
        <v>110000</v>
      </c>
      <c r="H28" s="103">
        <v>1050</v>
      </c>
      <c r="I28" s="102">
        <v>115500</v>
      </c>
      <c r="J28" s="101">
        <f t="shared" si="0"/>
        <v>350</v>
      </c>
      <c r="K28" s="100">
        <f t="shared" si="0"/>
        <v>38500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1230</v>
      </c>
      <c r="E29" s="116">
        <f>'１１月'!K29</f>
        <v>444793</v>
      </c>
      <c r="F29" s="74">
        <f>108+70</f>
        <v>178</v>
      </c>
      <c r="G29" s="111">
        <f>139333+14000</f>
        <v>153333</v>
      </c>
      <c r="H29" s="110">
        <f>97+50</f>
        <v>147</v>
      </c>
      <c r="I29" s="109">
        <f>120217+10000</f>
        <v>130217</v>
      </c>
      <c r="J29" s="108">
        <f t="shared" si="0"/>
        <v>1261</v>
      </c>
      <c r="K29" s="107">
        <f t="shared" si="0"/>
        <v>467909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1426</v>
      </c>
      <c r="E30" s="116">
        <f>'１１月'!K30</f>
        <v>828581</v>
      </c>
      <c r="F30" s="112">
        <f>123+292</f>
        <v>415</v>
      </c>
      <c r="G30" s="111">
        <f>79887+159297</f>
        <v>239184</v>
      </c>
      <c r="H30" s="110">
        <f>134+355</f>
        <v>489</v>
      </c>
      <c r="I30" s="153">
        <f>73865+135480</f>
        <v>209345</v>
      </c>
      <c r="J30" s="108">
        <f t="shared" si="0"/>
        <v>1352</v>
      </c>
      <c r="K30" s="107">
        <f t="shared" si="0"/>
        <v>858420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0</v>
      </c>
      <c r="E32" s="116">
        <f>'１１月'!K32</f>
        <v>0</v>
      </c>
      <c r="F32" s="112">
        <v>7</v>
      </c>
      <c r="G32" s="111">
        <v>6444</v>
      </c>
      <c r="H32" s="110">
        <v>7</v>
      </c>
      <c r="I32" s="109">
        <v>6444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27290</v>
      </c>
      <c r="E33" s="116">
        <f>'１１月'!K33</f>
        <v>9678763</v>
      </c>
      <c r="F33" s="112">
        <v>16823</v>
      </c>
      <c r="G33" s="111">
        <v>6358147</v>
      </c>
      <c r="H33" s="72">
        <v>16869</v>
      </c>
      <c r="I33" s="109">
        <v>6252653</v>
      </c>
      <c r="J33" s="108">
        <f t="shared" si="0"/>
        <v>27244</v>
      </c>
      <c r="K33" s="107">
        <f t="shared" si="0"/>
        <v>9784257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80536</v>
      </c>
      <c r="E34" s="116">
        <f>'１１月'!K34</f>
        <v>12328248</v>
      </c>
      <c r="F34" s="112">
        <f>159+27126</f>
        <v>27285</v>
      </c>
      <c r="G34" s="111">
        <f>362300+4566040</f>
        <v>4928340</v>
      </c>
      <c r="H34" s="110">
        <f>158+24653</f>
        <v>24811</v>
      </c>
      <c r="I34" s="109">
        <f>335068+3504381</f>
        <v>3839449</v>
      </c>
      <c r="J34" s="108">
        <f t="shared" si="0"/>
        <v>83010</v>
      </c>
      <c r="K34" s="107">
        <f t="shared" si="0"/>
        <v>13417139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1483</v>
      </c>
      <c r="E35" s="116">
        <f>'１１月'!K35</f>
        <v>136857</v>
      </c>
      <c r="F35" s="112">
        <v>958</v>
      </c>
      <c r="G35" s="111">
        <v>76405</v>
      </c>
      <c r="H35" s="110">
        <v>908</v>
      </c>
      <c r="I35" s="109">
        <v>83545</v>
      </c>
      <c r="J35" s="108">
        <f t="shared" si="0"/>
        <v>1533</v>
      </c>
      <c r="K35" s="107">
        <f t="shared" si="0"/>
        <v>129717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321</v>
      </c>
      <c r="E36" s="116">
        <f>'１１月'!K36</f>
        <v>764950</v>
      </c>
      <c r="F36" s="112">
        <v>586</v>
      </c>
      <c r="G36" s="111">
        <v>453790</v>
      </c>
      <c r="H36" s="110">
        <v>248</v>
      </c>
      <c r="I36" s="109">
        <v>483030</v>
      </c>
      <c r="J36" s="108">
        <f t="shared" si="0"/>
        <v>659</v>
      </c>
      <c r="K36" s="107">
        <f t="shared" si="0"/>
        <v>735710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706</v>
      </c>
      <c r="E38" s="116">
        <f>'１１月'!K38</f>
        <v>2039580</v>
      </c>
      <c r="F38" s="112">
        <v>90</v>
      </c>
      <c r="G38" s="111">
        <v>40681</v>
      </c>
      <c r="H38" s="110">
        <v>67</v>
      </c>
      <c r="I38" s="109">
        <v>90931</v>
      </c>
      <c r="J38" s="108">
        <f t="shared" si="0"/>
        <v>729</v>
      </c>
      <c r="K38" s="107">
        <f t="shared" si="0"/>
        <v>1989330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1494</v>
      </c>
      <c r="E39" s="116">
        <f>'１１月'!K39</f>
        <v>1643400</v>
      </c>
      <c r="F39" s="112">
        <v>280</v>
      </c>
      <c r="G39" s="111">
        <v>308000</v>
      </c>
      <c r="H39" s="110">
        <v>260</v>
      </c>
      <c r="I39" s="109">
        <v>286000</v>
      </c>
      <c r="J39" s="108">
        <f t="shared" si="0"/>
        <v>1514</v>
      </c>
      <c r="K39" s="107">
        <f t="shared" si="0"/>
        <v>1665400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9195</v>
      </c>
      <c r="E42" s="116">
        <f>'１１月'!K42</f>
        <v>3148531</v>
      </c>
      <c r="F42" s="112">
        <v>14551</v>
      </c>
      <c r="G42" s="111">
        <v>4181456</v>
      </c>
      <c r="H42" s="110">
        <v>15577</v>
      </c>
      <c r="I42" s="109">
        <v>4548124</v>
      </c>
      <c r="J42" s="108">
        <f t="shared" si="0"/>
        <v>8169</v>
      </c>
      <c r="K42" s="107">
        <f t="shared" si="0"/>
        <v>2781863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6474</v>
      </c>
      <c r="E43" s="116">
        <f>'１１月'!K43</f>
        <v>2040075</v>
      </c>
      <c r="F43" s="112">
        <v>9634</v>
      </c>
      <c r="G43" s="111">
        <v>3166914</v>
      </c>
      <c r="H43" s="110">
        <v>10809</v>
      </c>
      <c r="I43" s="109">
        <v>3599657</v>
      </c>
      <c r="J43" s="108">
        <f t="shared" si="0"/>
        <v>5299</v>
      </c>
      <c r="K43" s="107">
        <f t="shared" si="0"/>
        <v>1607332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34</v>
      </c>
      <c r="E44" s="116">
        <f>'１１月'!K44</f>
        <v>49650</v>
      </c>
      <c r="F44" s="112">
        <v>11</v>
      </c>
      <c r="G44" s="111">
        <v>15031</v>
      </c>
      <c r="H44" s="110">
        <v>21</v>
      </c>
      <c r="I44" s="109">
        <v>30001</v>
      </c>
      <c r="J44" s="108">
        <f t="shared" si="0"/>
        <v>24</v>
      </c>
      <c r="K44" s="107">
        <f t="shared" si="0"/>
        <v>34680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12880</v>
      </c>
      <c r="E45" s="116">
        <f>'１１月'!K45</f>
        <v>3757219</v>
      </c>
      <c r="F45" s="112">
        <v>5324</v>
      </c>
      <c r="G45" s="111">
        <v>643786</v>
      </c>
      <c r="H45" s="110">
        <v>8069</v>
      </c>
      <c r="I45" s="109">
        <v>1355069</v>
      </c>
      <c r="J45" s="108">
        <f t="shared" si="0"/>
        <v>10135</v>
      </c>
      <c r="K45" s="107">
        <f t="shared" si="0"/>
        <v>3045936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5513</v>
      </c>
      <c r="E46" s="116">
        <f>'１１月'!K46</f>
        <v>1251748</v>
      </c>
      <c r="F46" s="105">
        <v>3233</v>
      </c>
      <c r="G46" s="104">
        <v>554387</v>
      </c>
      <c r="H46" s="103">
        <v>4492</v>
      </c>
      <c r="I46" s="102">
        <v>795198</v>
      </c>
      <c r="J46" s="101">
        <f t="shared" si="0"/>
        <v>4254</v>
      </c>
      <c r="K46" s="100">
        <f t="shared" si="0"/>
        <v>1010937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15554</v>
      </c>
      <c r="E47" s="116">
        <f>'１１月'!K47</f>
        <v>2834105</v>
      </c>
      <c r="F47" s="105">
        <f>6+2172</f>
        <v>2178</v>
      </c>
      <c r="G47" s="104">
        <f>22000+602080</f>
        <v>624080</v>
      </c>
      <c r="H47" s="103">
        <v>2443</v>
      </c>
      <c r="I47" s="102">
        <v>776745</v>
      </c>
      <c r="J47" s="101">
        <f t="shared" si="0"/>
        <v>15289</v>
      </c>
      <c r="K47" s="100">
        <f t="shared" si="0"/>
        <v>2681440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6977</v>
      </c>
      <c r="E49" s="97">
        <f>'１１月'!K49</f>
        <v>2342031</v>
      </c>
      <c r="F49" s="98">
        <v>6197</v>
      </c>
      <c r="G49" s="97">
        <v>1394089</v>
      </c>
      <c r="H49" s="96">
        <v>5765</v>
      </c>
      <c r="I49" s="95">
        <v>1275436</v>
      </c>
      <c r="J49" s="94">
        <f t="shared" si="0"/>
        <v>7409</v>
      </c>
      <c r="K49" s="93">
        <f t="shared" si="0"/>
        <v>2460684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262546</v>
      </c>
      <c r="E50" s="90">
        <f t="shared" si="1"/>
        <v>69397650</v>
      </c>
      <c r="F50" s="89">
        <f t="shared" si="1"/>
        <v>110849</v>
      </c>
      <c r="G50" s="87">
        <f t="shared" si="1"/>
        <v>30254353</v>
      </c>
      <c r="H50" s="89">
        <f t="shared" si="1"/>
        <v>112325</v>
      </c>
      <c r="I50" s="87">
        <f t="shared" si="1"/>
        <v>30943401</v>
      </c>
      <c r="J50" s="88">
        <f t="shared" si="0"/>
        <v>261070</v>
      </c>
      <c r="K50" s="87">
        <f t="shared" si="0"/>
        <v>68708602</v>
      </c>
      <c r="L50" s="86"/>
    </row>
    <row r="51" spans="10:11" ht="13.5">
      <c r="J51" s="85"/>
      <c r="K51" s="85"/>
    </row>
    <row r="52" spans="4:11" ht="13.5">
      <c r="D52" s="139">
        <v>261738</v>
      </c>
      <c r="E52" s="139">
        <v>67733089</v>
      </c>
      <c r="F52" s="139">
        <v>110431</v>
      </c>
      <c r="G52" s="139">
        <v>29591733</v>
      </c>
      <c r="H52" s="139">
        <v>111897</v>
      </c>
      <c r="I52" s="139">
        <v>30299872</v>
      </c>
      <c r="J52" s="84">
        <v>260272</v>
      </c>
      <c r="K52" s="84">
        <v>67024950</v>
      </c>
    </row>
    <row r="53" spans="4:11" ht="13.5">
      <c r="D53" s="139">
        <v>808</v>
      </c>
      <c r="E53" s="139">
        <v>1664561</v>
      </c>
      <c r="F53" s="139">
        <v>418</v>
      </c>
      <c r="G53" s="139">
        <v>662620</v>
      </c>
      <c r="H53" s="139">
        <v>428</v>
      </c>
      <c r="I53" s="139">
        <v>643529</v>
      </c>
      <c r="J53" s="139">
        <v>798</v>
      </c>
      <c r="K53" s="139">
        <v>1683652</v>
      </c>
    </row>
    <row r="54" spans="4:11" ht="13.5">
      <c r="D54" s="139">
        <f>SUM(D52:D53)</f>
        <v>262546</v>
      </c>
      <c r="E54" s="139">
        <f aca="true" t="shared" si="2" ref="E54:K54">SUM(E52:E53)</f>
        <v>69397650</v>
      </c>
      <c r="F54" s="139">
        <f t="shared" si="2"/>
        <v>110849</v>
      </c>
      <c r="G54" s="139">
        <f t="shared" si="2"/>
        <v>30254353</v>
      </c>
      <c r="H54" s="139">
        <f t="shared" si="2"/>
        <v>112325</v>
      </c>
      <c r="I54" s="139">
        <f t="shared" si="2"/>
        <v>30943401</v>
      </c>
      <c r="J54" s="139">
        <f t="shared" si="2"/>
        <v>261070</v>
      </c>
      <c r="K54" s="139">
        <f t="shared" si="2"/>
        <v>68708602</v>
      </c>
    </row>
    <row r="55" spans="4:11" ht="13.5">
      <c r="D55" s="139">
        <f>+D54-D50</f>
        <v>0</v>
      </c>
      <c r="E55" s="139">
        <f aca="true" t="shared" si="3" ref="E55:K55">+E54-E50</f>
        <v>0</v>
      </c>
      <c r="F55" s="139">
        <f t="shared" si="3"/>
        <v>0</v>
      </c>
      <c r="G55" s="139">
        <f t="shared" si="3"/>
        <v>0</v>
      </c>
      <c r="H55" s="139">
        <f t="shared" si="3"/>
        <v>0</v>
      </c>
      <c r="I55" s="139">
        <f t="shared" si="3"/>
        <v>0</v>
      </c>
      <c r="J55" s="139">
        <f t="shared" si="3"/>
        <v>0</v>
      </c>
      <c r="K55" s="139">
        <f t="shared" si="3"/>
        <v>0</v>
      </c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34" sqref="F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23613</v>
      </c>
      <c r="E10" s="116">
        <f>'１月'!K10</f>
        <v>5695936</v>
      </c>
      <c r="F10" s="119">
        <v>2072</v>
      </c>
      <c r="G10" s="118">
        <v>327458</v>
      </c>
      <c r="H10" s="117">
        <v>3236</v>
      </c>
      <c r="I10" s="116">
        <v>480915</v>
      </c>
      <c r="J10" s="115">
        <f aca="true" t="shared" si="0" ref="J10:J50">D10+F10-H10</f>
        <v>22449</v>
      </c>
      <c r="K10" s="114">
        <f aca="true" t="shared" si="1" ref="K10:K50">E10+G10-I10</f>
        <v>5542479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894</v>
      </c>
      <c r="E11" s="116">
        <f>'１月'!K11</f>
        <v>103080</v>
      </c>
      <c r="F11" s="105">
        <v>250</v>
      </c>
      <c r="G11" s="104">
        <v>37500</v>
      </c>
      <c r="H11" s="103">
        <v>200</v>
      </c>
      <c r="I11" s="102">
        <v>27000</v>
      </c>
      <c r="J11" s="101">
        <f t="shared" si="0"/>
        <v>944</v>
      </c>
      <c r="K11" s="100">
        <f t="shared" si="1"/>
        <v>113580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156</v>
      </c>
      <c r="E12" s="116">
        <f>'１月'!K12</f>
        <v>20631</v>
      </c>
      <c r="F12" s="105">
        <v>0</v>
      </c>
      <c r="G12" s="104">
        <v>0</v>
      </c>
      <c r="H12" s="103">
        <v>8</v>
      </c>
      <c r="I12" s="102">
        <v>1140</v>
      </c>
      <c r="J12" s="101">
        <f t="shared" si="0"/>
        <v>148</v>
      </c>
      <c r="K12" s="100">
        <f t="shared" si="1"/>
        <v>19491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4560</v>
      </c>
      <c r="E13" s="116">
        <f>'１月'!K13</f>
        <v>1080504</v>
      </c>
      <c r="F13" s="105">
        <v>765</v>
      </c>
      <c r="G13" s="104">
        <v>185655</v>
      </c>
      <c r="H13" s="103">
        <v>531</v>
      </c>
      <c r="I13" s="102">
        <v>123900</v>
      </c>
      <c r="J13" s="101">
        <f t="shared" si="0"/>
        <v>4794</v>
      </c>
      <c r="K13" s="100">
        <f t="shared" si="1"/>
        <v>1142259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1967</v>
      </c>
      <c r="E17" s="116">
        <f>'１月'!K17</f>
        <v>5916503</v>
      </c>
      <c r="F17" s="105">
        <v>1215</v>
      </c>
      <c r="G17" s="104">
        <v>3774370</v>
      </c>
      <c r="H17" s="103">
        <v>1088</v>
      </c>
      <c r="I17" s="102">
        <v>3351713</v>
      </c>
      <c r="J17" s="101">
        <f t="shared" si="0"/>
        <v>2094</v>
      </c>
      <c r="K17" s="100">
        <f t="shared" si="1"/>
        <v>6339160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117</v>
      </c>
      <c r="E18" s="116">
        <f>'１月'!K18</f>
        <v>17319</v>
      </c>
      <c r="F18" s="105">
        <v>96</v>
      </c>
      <c r="G18" s="104">
        <v>13403</v>
      </c>
      <c r="H18" s="103">
        <v>134</v>
      </c>
      <c r="I18" s="102">
        <v>20551</v>
      </c>
      <c r="J18" s="101">
        <f t="shared" si="0"/>
        <v>79</v>
      </c>
      <c r="K18" s="100">
        <f t="shared" si="1"/>
        <v>10171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0</v>
      </c>
      <c r="E20" s="116">
        <f>'１月'!K20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1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8714</v>
      </c>
      <c r="E22" s="116">
        <f>'１月'!K22</f>
        <v>1091247</v>
      </c>
      <c r="F22" s="105">
        <v>3150</v>
      </c>
      <c r="G22" s="104">
        <v>408080</v>
      </c>
      <c r="H22" s="103">
        <v>2366</v>
      </c>
      <c r="I22" s="102">
        <v>293260</v>
      </c>
      <c r="J22" s="101">
        <f t="shared" si="0"/>
        <v>9498</v>
      </c>
      <c r="K22" s="100">
        <f t="shared" si="1"/>
        <v>1206067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2684</v>
      </c>
      <c r="E23" s="116">
        <f>'１月'!K23</f>
        <v>3155542</v>
      </c>
      <c r="F23" s="112">
        <v>914</v>
      </c>
      <c r="G23" s="111">
        <v>2018100</v>
      </c>
      <c r="H23" s="110">
        <v>1054</v>
      </c>
      <c r="I23" s="109">
        <v>1807522</v>
      </c>
      <c r="J23" s="108">
        <f t="shared" si="0"/>
        <v>2544</v>
      </c>
      <c r="K23" s="107">
        <f t="shared" si="1"/>
        <v>3366120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25899</v>
      </c>
      <c r="E24" s="116">
        <f>'１月'!K24</f>
        <v>3265753</v>
      </c>
      <c r="F24" s="105">
        <v>1121</v>
      </c>
      <c r="G24" s="104">
        <v>1465783</v>
      </c>
      <c r="H24" s="103">
        <v>1187</v>
      </c>
      <c r="I24" s="102">
        <v>1458879</v>
      </c>
      <c r="J24" s="101">
        <f t="shared" si="0"/>
        <v>25833</v>
      </c>
      <c r="K24" s="100">
        <f t="shared" si="1"/>
        <v>3272657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6679</v>
      </c>
      <c r="E25" s="116">
        <f>'１月'!K25</f>
        <v>4880694</v>
      </c>
      <c r="F25" s="105">
        <f>5083+8</f>
        <v>5091</v>
      </c>
      <c r="G25" s="104">
        <f>1629750+22500</f>
        <v>1652250</v>
      </c>
      <c r="H25" s="103">
        <f>4469+3</f>
        <v>4472</v>
      </c>
      <c r="I25" s="102">
        <f>1116132+9654</f>
        <v>1125786</v>
      </c>
      <c r="J25" s="101">
        <f t="shared" si="0"/>
        <v>7298</v>
      </c>
      <c r="K25" s="100">
        <f t="shared" si="1"/>
        <v>5407158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20282</v>
      </c>
      <c r="E26" s="116">
        <f>'１月'!K26</f>
        <v>8285297</v>
      </c>
      <c r="F26" s="105">
        <v>7405</v>
      </c>
      <c r="G26" s="104">
        <v>1468943</v>
      </c>
      <c r="H26" s="103">
        <v>6985</v>
      </c>
      <c r="I26" s="102">
        <v>2055009</v>
      </c>
      <c r="J26" s="101">
        <f t="shared" si="0"/>
        <v>20702</v>
      </c>
      <c r="K26" s="100">
        <f t="shared" si="1"/>
        <v>7699231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2024</v>
      </c>
      <c r="E27" s="116">
        <f>'１月'!K27</f>
        <v>320950</v>
      </c>
      <c r="F27" s="105">
        <v>428</v>
      </c>
      <c r="G27" s="104">
        <v>102700</v>
      </c>
      <c r="H27" s="103">
        <v>347</v>
      </c>
      <c r="I27" s="102">
        <v>85750</v>
      </c>
      <c r="J27" s="101">
        <f t="shared" si="0"/>
        <v>2105</v>
      </c>
      <c r="K27" s="100">
        <f t="shared" si="1"/>
        <v>337900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730</v>
      </c>
      <c r="E28" s="116">
        <f>'１月'!K28</f>
        <v>80300</v>
      </c>
      <c r="F28" s="105">
        <v>860</v>
      </c>
      <c r="G28" s="104">
        <v>94600</v>
      </c>
      <c r="H28" s="103">
        <v>940</v>
      </c>
      <c r="I28" s="102">
        <v>103400</v>
      </c>
      <c r="J28" s="101">
        <f t="shared" si="0"/>
        <v>650</v>
      </c>
      <c r="K28" s="100">
        <f t="shared" si="1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1151</v>
      </c>
      <c r="E29" s="116">
        <f>'１月'!K29</f>
        <v>375181</v>
      </c>
      <c r="F29" s="74">
        <f>22+50</f>
        <v>72</v>
      </c>
      <c r="G29" s="111">
        <f>4400+95750</f>
        <v>100150</v>
      </c>
      <c r="H29" s="110">
        <f>20+76</f>
        <v>96</v>
      </c>
      <c r="I29" s="109">
        <f>4000+95910</f>
        <v>99910</v>
      </c>
      <c r="J29" s="108">
        <f t="shared" si="0"/>
        <v>1127</v>
      </c>
      <c r="K29" s="107">
        <f t="shared" si="1"/>
        <v>375421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1492</v>
      </c>
      <c r="E30" s="116">
        <f>'１月'!K30</f>
        <v>856443</v>
      </c>
      <c r="F30" s="112">
        <f>484+148</f>
        <v>632</v>
      </c>
      <c r="G30" s="111">
        <f>244962+87479</f>
        <v>332441</v>
      </c>
      <c r="H30" s="110">
        <f>363+125</f>
        <v>488</v>
      </c>
      <c r="I30" s="109">
        <f>175860+80406</f>
        <v>256266</v>
      </c>
      <c r="J30" s="108">
        <f t="shared" si="0"/>
        <v>1636</v>
      </c>
      <c r="K30" s="107">
        <f t="shared" si="1"/>
        <v>932618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0</v>
      </c>
      <c r="E32" s="116">
        <f>'１月'!K32</f>
        <v>0</v>
      </c>
      <c r="F32" s="112">
        <v>10</v>
      </c>
      <c r="G32" s="111">
        <v>8520</v>
      </c>
      <c r="H32" s="110">
        <v>4</v>
      </c>
      <c r="I32" s="109">
        <v>3243</v>
      </c>
      <c r="J32" s="108">
        <f t="shared" si="0"/>
        <v>6</v>
      </c>
      <c r="K32" s="107">
        <f t="shared" si="1"/>
        <v>5277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21447</v>
      </c>
      <c r="E33" s="116">
        <f>'１月'!K33</f>
        <v>6648107</v>
      </c>
      <c r="F33" s="112">
        <v>20249</v>
      </c>
      <c r="G33" s="111">
        <v>6416049</v>
      </c>
      <c r="H33" s="72">
        <v>17801</v>
      </c>
      <c r="I33" s="109">
        <v>5502715</v>
      </c>
      <c r="J33" s="108">
        <f t="shared" si="0"/>
        <v>23895</v>
      </c>
      <c r="K33" s="107">
        <f t="shared" si="1"/>
        <v>7561441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82074</v>
      </c>
      <c r="E34" s="116">
        <f>'１月'!K34</f>
        <v>7511436</v>
      </c>
      <c r="F34" s="112">
        <f>25742+149</f>
        <v>25891</v>
      </c>
      <c r="G34" s="111">
        <f>4836547+340800</f>
        <v>5177347</v>
      </c>
      <c r="H34" s="110">
        <f>25005+130</f>
        <v>25135</v>
      </c>
      <c r="I34" s="109">
        <f>4611883+308054</f>
        <v>4919937</v>
      </c>
      <c r="J34" s="108">
        <f t="shared" si="0"/>
        <v>82830</v>
      </c>
      <c r="K34" s="107">
        <f t="shared" si="1"/>
        <v>7768846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919</v>
      </c>
      <c r="E35" s="123">
        <f>'１月'!K35</f>
        <v>98006</v>
      </c>
      <c r="F35" s="112">
        <v>1441</v>
      </c>
      <c r="G35" s="111">
        <v>154320</v>
      </c>
      <c r="H35" s="110">
        <v>1053</v>
      </c>
      <c r="I35" s="109">
        <v>125991</v>
      </c>
      <c r="J35" s="108">
        <f t="shared" si="0"/>
        <v>1307</v>
      </c>
      <c r="K35" s="107">
        <f t="shared" si="1"/>
        <v>126335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200</v>
      </c>
      <c r="E36" s="116">
        <f>'１月'!K36</f>
        <v>41680</v>
      </c>
      <c r="F36" s="112">
        <v>159</v>
      </c>
      <c r="G36" s="111">
        <v>32320</v>
      </c>
      <c r="H36" s="110">
        <v>147</v>
      </c>
      <c r="I36" s="109">
        <v>30760</v>
      </c>
      <c r="J36" s="108">
        <f t="shared" si="0"/>
        <v>212</v>
      </c>
      <c r="K36" s="107">
        <f t="shared" si="1"/>
        <v>43240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782</v>
      </c>
      <c r="E38" s="116">
        <f>'１月'!K38</f>
        <v>149760</v>
      </c>
      <c r="F38" s="112">
        <v>15</v>
      </c>
      <c r="G38" s="111">
        <v>3920</v>
      </c>
      <c r="H38" s="110">
        <v>12</v>
      </c>
      <c r="I38" s="109">
        <v>1760</v>
      </c>
      <c r="J38" s="108">
        <f t="shared" si="0"/>
        <v>785</v>
      </c>
      <c r="K38" s="107">
        <f t="shared" si="1"/>
        <v>151920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1084</v>
      </c>
      <c r="E39" s="116">
        <f>'１月'!K39</f>
        <v>1192400</v>
      </c>
      <c r="F39" s="112">
        <v>400</v>
      </c>
      <c r="G39" s="111">
        <v>440000</v>
      </c>
      <c r="H39" s="110">
        <v>300</v>
      </c>
      <c r="I39" s="109">
        <v>330000</v>
      </c>
      <c r="J39" s="108">
        <f t="shared" si="0"/>
        <v>1184</v>
      </c>
      <c r="K39" s="107">
        <f t="shared" si="1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9112</v>
      </c>
      <c r="E42" s="116">
        <f>'１月'!K42</f>
        <v>2656066</v>
      </c>
      <c r="F42" s="112">
        <v>19222</v>
      </c>
      <c r="G42" s="111">
        <v>5943293</v>
      </c>
      <c r="H42" s="110">
        <v>17000</v>
      </c>
      <c r="I42" s="109">
        <v>5018606</v>
      </c>
      <c r="J42" s="108">
        <f t="shared" si="0"/>
        <v>11334</v>
      </c>
      <c r="K42" s="107">
        <f t="shared" si="1"/>
        <v>3580753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5401</v>
      </c>
      <c r="E43" s="116">
        <f>'１月'!K43</f>
        <v>1656990</v>
      </c>
      <c r="F43" s="112">
        <v>6717</v>
      </c>
      <c r="G43" s="111">
        <v>2173822</v>
      </c>
      <c r="H43" s="110">
        <v>7470</v>
      </c>
      <c r="I43" s="109">
        <v>2494596</v>
      </c>
      <c r="J43" s="108">
        <f t="shared" si="0"/>
        <v>4648</v>
      </c>
      <c r="K43" s="107">
        <f t="shared" si="1"/>
        <v>1336216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77</v>
      </c>
      <c r="E44" s="116">
        <f>'１月'!K44</f>
        <v>113700</v>
      </c>
      <c r="F44" s="112">
        <v>1</v>
      </c>
      <c r="G44" s="111">
        <v>1500</v>
      </c>
      <c r="H44" s="110">
        <v>1</v>
      </c>
      <c r="I44" s="109">
        <v>1500</v>
      </c>
      <c r="J44" s="108">
        <f t="shared" si="0"/>
        <v>77</v>
      </c>
      <c r="K44" s="107">
        <f t="shared" si="1"/>
        <v>113700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7768</v>
      </c>
      <c r="E45" s="116">
        <f>'１月'!K45</f>
        <v>3495966</v>
      </c>
      <c r="F45" s="112">
        <v>4016</v>
      </c>
      <c r="G45" s="111">
        <v>814605</v>
      </c>
      <c r="H45" s="110">
        <v>2060</v>
      </c>
      <c r="I45" s="109">
        <v>440903</v>
      </c>
      <c r="J45" s="108">
        <f t="shared" si="0"/>
        <v>9724</v>
      </c>
      <c r="K45" s="107">
        <f t="shared" si="1"/>
        <v>3869668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4459</v>
      </c>
      <c r="E46" s="116">
        <f>'１月'!K46</f>
        <v>800682</v>
      </c>
      <c r="F46" s="105">
        <v>3415</v>
      </c>
      <c r="G46" s="104">
        <v>610786</v>
      </c>
      <c r="H46" s="103">
        <v>2522</v>
      </c>
      <c r="I46" s="102">
        <v>449816</v>
      </c>
      <c r="J46" s="101">
        <f t="shared" si="0"/>
        <v>5352</v>
      </c>
      <c r="K46" s="100">
        <f t="shared" si="1"/>
        <v>961652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6833</v>
      </c>
      <c r="E47" s="116">
        <f>'１月'!K47</f>
        <v>3552645</v>
      </c>
      <c r="F47" s="105">
        <v>2152</v>
      </c>
      <c r="G47" s="104">
        <v>677068</v>
      </c>
      <c r="H47" s="103">
        <v>2245</v>
      </c>
      <c r="I47" s="102">
        <v>2245942</v>
      </c>
      <c r="J47" s="101">
        <f t="shared" si="0"/>
        <v>6740</v>
      </c>
      <c r="K47" s="100">
        <f t="shared" si="1"/>
        <v>1983771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5431</v>
      </c>
      <c r="E49" s="116">
        <f>'１月'!K49</f>
        <v>1767368</v>
      </c>
      <c r="F49" s="98">
        <v>3968</v>
      </c>
      <c r="G49" s="97">
        <v>1066528</v>
      </c>
      <c r="H49" s="96">
        <v>4140</v>
      </c>
      <c r="I49" s="95">
        <v>1025364</v>
      </c>
      <c r="J49" s="94">
        <f t="shared" si="0"/>
        <v>5259</v>
      </c>
      <c r="K49" s="93">
        <f t="shared" si="1"/>
        <v>1808532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2" ref="D50:I50">SUM(D10:D49)</f>
        <v>246549</v>
      </c>
      <c r="E50" s="90">
        <f t="shared" si="2"/>
        <v>64830186</v>
      </c>
      <c r="F50" s="89">
        <f t="shared" si="2"/>
        <v>111727</v>
      </c>
      <c r="G50" s="87">
        <f t="shared" si="2"/>
        <v>35501511</v>
      </c>
      <c r="H50" s="89">
        <f t="shared" si="2"/>
        <v>103022</v>
      </c>
      <c r="I50" s="87">
        <f t="shared" si="2"/>
        <v>33882134</v>
      </c>
      <c r="J50" s="88">
        <f t="shared" si="0"/>
        <v>255254</v>
      </c>
      <c r="K50" s="87">
        <f t="shared" si="1"/>
        <v>66449563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N6" sqref="N6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1" ht="13.5"/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22449</v>
      </c>
      <c r="E10" s="116">
        <f>'２月'!K10</f>
        <v>5542479</v>
      </c>
      <c r="F10" s="119">
        <v>3214</v>
      </c>
      <c r="G10" s="118">
        <v>519772</v>
      </c>
      <c r="H10" s="117">
        <v>3225</v>
      </c>
      <c r="I10" s="116">
        <v>552150</v>
      </c>
      <c r="J10" s="115">
        <f aca="true" t="shared" si="0" ref="J10:K50">D10+F10-H10</f>
        <v>22438</v>
      </c>
      <c r="K10" s="114">
        <f t="shared" si="0"/>
        <v>5510101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944</v>
      </c>
      <c r="E11" s="116">
        <f>'２月'!K11</f>
        <v>113580</v>
      </c>
      <c r="F11" s="105">
        <v>200</v>
      </c>
      <c r="G11" s="104">
        <v>30000</v>
      </c>
      <c r="H11" s="103">
        <v>250</v>
      </c>
      <c r="I11" s="102">
        <v>45000</v>
      </c>
      <c r="J11" s="101">
        <f t="shared" si="0"/>
        <v>894</v>
      </c>
      <c r="K11" s="100">
        <f t="shared" si="0"/>
        <v>98580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148</v>
      </c>
      <c r="E12" s="116">
        <f>'２月'!K12</f>
        <v>19491</v>
      </c>
      <c r="F12" s="105">
        <v>30</v>
      </c>
      <c r="G12" s="104">
        <v>3983</v>
      </c>
      <c r="H12" s="103">
        <v>0</v>
      </c>
      <c r="I12" s="102">
        <v>0</v>
      </c>
      <c r="J12" s="101">
        <f t="shared" si="0"/>
        <v>178</v>
      </c>
      <c r="K12" s="100">
        <f t="shared" si="0"/>
        <v>23474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4794</v>
      </c>
      <c r="E13" s="123">
        <f>'２月'!K13</f>
        <v>1142259</v>
      </c>
      <c r="F13" s="105">
        <v>1040</v>
      </c>
      <c r="G13" s="104">
        <v>269300</v>
      </c>
      <c r="H13" s="103">
        <v>673</v>
      </c>
      <c r="I13" s="102">
        <v>150394</v>
      </c>
      <c r="J13" s="101">
        <f t="shared" si="0"/>
        <v>5161</v>
      </c>
      <c r="K13" s="100">
        <f t="shared" si="0"/>
        <v>1261165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2094</v>
      </c>
      <c r="E17" s="116">
        <f>'２月'!K17</f>
        <v>6339160</v>
      </c>
      <c r="F17" s="105">
        <v>1677</v>
      </c>
      <c r="G17" s="104">
        <v>5093403</v>
      </c>
      <c r="H17" s="103">
        <v>1509</v>
      </c>
      <c r="I17" s="102">
        <v>4580060</v>
      </c>
      <c r="J17" s="101">
        <f t="shared" si="0"/>
        <v>2262</v>
      </c>
      <c r="K17" s="100">
        <f t="shared" si="0"/>
        <v>6852503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79</v>
      </c>
      <c r="E18" s="116">
        <f>'２月'!K18</f>
        <v>10171</v>
      </c>
      <c r="F18" s="105">
        <v>146</v>
      </c>
      <c r="G18" s="104">
        <v>20521</v>
      </c>
      <c r="H18" s="103">
        <v>101</v>
      </c>
      <c r="I18" s="102">
        <v>13056</v>
      </c>
      <c r="J18" s="101">
        <f t="shared" si="0"/>
        <v>124</v>
      </c>
      <c r="K18" s="100">
        <f t="shared" si="0"/>
        <v>17636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0</v>
      </c>
      <c r="E20" s="116">
        <f>'２月'!K20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9498</v>
      </c>
      <c r="E22" s="116">
        <f>'２月'!K22</f>
        <v>1206067</v>
      </c>
      <c r="F22" s="105">
        <v>2430</v>
      </c>
      <c r="G22" s="104">
        <v>306880</v>
      </c>
      <c r="H22" s="103">
        <v>3013</v>
      </c>
      <c r="I22" s="102">
        <v>389120</v>
      </c>
      <c r="J22" s="101">
        <f t="shared" si="0"/>
        <v>8915</v>
      </c>
      <c r="K22" s="100">
        <f t="shared" si="0"/>
        <v>1123827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2544</v>
      </c>
      <c r="E23" s="116">
        <f>'２月'!K23</f>
        <v>3366120</v>
      </c>
      <c r="F23" s="112">
        <v>976</v>
      </c>
      <c r="G23" s="111">
        <v>1336700</v>
      </c>
      <c r="H23" s="110">
        <v>1330</v>
      </c>
      <c r="I23" s="109">
        <v>3038012</v>
      </c>
      <c r="J23" s="108">
        <f t="shared" si="0"/>
        <v>2190</v>
      </c>
      <c r="K23" s="107">
        <f t="shared" si="0"/>
        <v>1664808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25833</v>
      </c>
      <c r="E24" s="116">
        <f>'２月'!K24</f>
        <v>3272657</v>
      </c>
      <c r="F24" s="105">
        <v>1282</v>
      </c>
      <c r="G24" s="104">
        <v>1523047</v>
      </c>
      <c r="H24" s="103">
        <v>1553</v>
      </c>
      <c r="I24" s="102">
        <v>1591918</v>
      </c>
      <c r="J24" s="101">
        <f t="shared" si="0"/>
        <v>25562</v>
      </c>
      <c r="K24" s="100">
        <f t="shared" si="0"/>
        <v>3203786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7298</v>
      </c>
      <c r="E25" s="116">
        <f>'２月'!K25</f>
        <v>5407158</v>
      </c>
      <c r="F25" s="105">
        <f>5873+21</f>
        <v>5894</v>
      </c>
      <c r="G25" s="104">
        <f>1670557+59400</f>
        <v>1729957</v>
      </c>
      <c r="H25" s="103">
        <f>5219+52</f>
        <v>5271</v>
      </c>
      <c r="I25" s="102">
        <f>2110555+141600</f>
        <v>2252155</v>
      </c>
      <c r="J25" s="101">
        <f t="shared" si="0"/>
        <v>7921</v>
      </c>
      <c r="K25" s="100">
        <f t="shared" si="0"/>
        <v>4884960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20702</v>
      </c>
      <c r="E26" s="116">
        <f>'２月'!K26</f>
        <v>7699231</v>
      </c>
      <c r="F26" s="105">
        <v>7739</v>
      </c>
      <c r="G26" s="104">
        <v>2748695</v>
      </c>
      <c r="H26" s="103">
        <v>8645</v>
      </c>
      <c r="I26" s="102">
        <v>2938482</v>
      </c>
      <c r="J26" s="101">
        <f t="shared" si="0"/>
        <v>19796</v>
      </c>
      <c r="K26" s="100">
        <f t="shared" si="0"/>
        <v>7509444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2105</v>
      </c>
      <c r="E27" s="116">
        <f>'２月'!K27</f>
        <v>337900</v>
      </c>
      <c r="F27" s="105">
        <v>419</v>
      </c>
      <c r="G27" s="104">
        <v>94750</v>
      </c>
      <c r="H27" s="103">
        <v>441</v>
      </c>
      <c r="I27" s="102">
        <v>99800</v>
      </c>
      <c r="J27" s="101">
        <f t="shared" si="0"/>
        <v>2083</v>
      </c>
      <c r="K27" s="100">
        <f t="shared" si="0"/>
        <v>332850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650</v>
      </c>
      <c r="E28" s="116">
        <f>'２月'!K28</f>
        <v>71500</v>
      </c>
      <c r="F28" s="105">
        <v>1070</v>
      </c>
      <c r="G28" s="104">
        <v>117700</v>
      </c>
      <c r="H28" s="103">
        <v>1120</v>
      </c>
      <c r="I28" s="102">
        <v>123200</v>
      </c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1127</v>
      </c>
      <c r="E29" s="123">
        <f>'２月'!K29</f>
        <v>375421</v>
      </c>
      <c r="F29" s="112">
        <f>24+155</f>
        <v>179</v>
      </c>
      <c r="G29" s="111">
        <f>4800+119966</f>
        <v>124766</v>
      </c>
      <c r="H29" s="110">
        <f>28+76</f>
        <v>104</v>
      </c>
      <c r="I29" s="109">
        <f>5600+95910</f>
        <v>101510</v>
      </c>
      <c r="J29" s="108">
        <f t="shared" si="0"/>
        <v>1202</v>
      </c>
      <c r="K29" s="107">
        <f t="shared" si="0"/>
        <v>398677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1636</v>
      </c>
      <c r="E30" s="123">
        <f>'２月'!K30</f>
        <v>932618</v>
      </c>
      <c r="F30" s="112">
        <f>437+315</f>
        <v>752</v>
      </c>
      <c r="G30" s="111">
        <f>329409+135811</f>
        <v>465220</v>
      </c>
      <c r="H30" s="110">
        <f>485+283</f>
        <v>768</v>
      </c>
      <c r="I30" s="109">
        <f>333114+105521</f>
        <v>438635</v>
      </c>
      <c r="J30" s="108">
        <f t="shared" si="0"/>
        <v>1620</v>
      </c>
      <c r="K30" s="107">
        <f t="shared" si="0"/>
        <v>959203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6</v>
      </c>
      <c r="E32" s="123">
        <f>'２月'!K32</f>
        <v>5277</v>
      </c>
      <c r="F32" s="112">
        <v>7</v>
      </c>
      <c r="G32" s="111">
        <v>6271</v>
      </c>
      <c r="H32" s="110">
        <v>6</v>
      </c>
      <c r="I32" s="109">
        <v>5277</v>
      </c>
      <c r="J32" s="108">
        <f t="shared" si="0"/>
        <v>7</v>
      </c>
      <c r="K32" s="107">
        <f t="shared" si="0"/>
        <v>6271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23895</v>
      </c>
      <c r="E33" s="123">
        <f>'２月'!K33</f>
        <v>7561441</v>
      </c>
      <c r="F33" s="112">
        <v>27836</v>
      </c>
      <c r="G33" s="111">
        <v>7843354</v>
      </c>
      <c r="H33" s="72">
        <v>18813</v>
      </c>
      <c r="I33" s="109">
        <v>5721146</v>
      </c>
      <c r="J33" s="108">
        <f t="shared" si="0"/>
        <v>32918</v>
      </c>
      <c r="K33" s="107">
        <f t="shared" si="0"/>
        <v>9683649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82830</v>
      </c>
      <c r="E34" s="123">
        <f>'２月'!K34</f>
        <v>7768846</v>
      </c>
      <c r="F34" s="112">
        <f>31022+139</f>
        <v>31161</v>
      </c>
      <c r="G34" s="111">
        <f>4835719+355400</f>
        <v>5191119</v>
      </c>
      <c r="H34" s="110">
        <f>28404+138</f>
        <v>28542</v>
      </c>
      <c r="I34" s="109">
        <f>4860434+348014</f>
        <v>5208448</v>
      </c>
      <c r="J34" s="108">
        <f t="shared" si="0"/>
        <v>85449</v>
      </c>
      <c r="K34" s="107">
        <f t="shared" si="0"/>
        <v>7751517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1307</v>
      </c>
      <c r="E35" s="116">
        <f>'２月'!K35</f>
        <v>126335</v>
      </c>
      <c r="F35" s="112">
        <v>1253</v>
      </c>
      <c r="G35" s="111">
        <v>125290</v>
      </c>
      <c r="H35" s="110">
        <v>1243</v>
      </c>
      <c r="I35" s="109">
        <v>137361</v>
      </c>
      <c r="J35" s="108">
        <f t="shared" si="0"/>
        <v>1317</v>
      </c>
      <c r="K35" s="107">
        <f t="shared" si="0"/>
        <v>114264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212</v>
      </c>
      <c r="E36" s="116">
        <f>'２月'!K36</f>
        <v>43240</v>
      </c>
      <c r="F36" s="112">
        <v>246</v>
      </c>
      <c r="G36" s="111">
        <v>128850</v>
      </c>
      <c r="H36" s="110">
        <v>198</v>
      </c>
      <c r="I36" s="109">
        <v>40240</v>
      </c>
      <c r="J36" s="108">
        <f t="shared" si="0"/>
        <v>260</v>
      </c>
      <c r="K36" s="107">
        <f t="shared" si="0"/>
        <v>131850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785</v>
      </c>
      <c r="E38" s="116">
        <f>'２月'!K38</f>
        <v>151920</v>
      </c>
      <c r="F38" s="112">
        <v>19</v>
      </c>
      <c r="G38" s="111">
        <v>3760</v>
      </c>
      <c r="H38" s="110">
        <v>45</v>
      </c>
      <c r="I38" s="109">
        <v>7760</v>
      </c>
      <c r="J38" s="108">
        <f t="shared" si="0"/>
        <v>759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1184</v>
      </c>
      <c r="E39" s="116">
        <f>'２月'!K39</f>
        <v>1302400</v>
      </c>
      <c r="F39" s="112">
        <v>400</v>
      </c>
      <c r="G39" s="111">
        <v>440000</v>
      </c>
      <c r="H39" s="110">
        <v>380</v>
      </c>
      <c r="I39" s="109">
        <v>418000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11334</v>
      </c>
      <c r="E42" s="116">
        <f>'２月'!K42</f>
        <v>3580753</v>
      </c>
      <c r="F42" s="112">
        <v>24652</v>
      </c>
      <c r="G42" s="111">
        <v>7089867</v>
      </c>
      <c r="H42" s="110">
        <v>24362</v>
      </c>
      <c r="I42" s="109">
        <v>7090472</v>
      </c>
      <c r="J42" s="108">
        <f t="shared" si="0"/>
        <v>11624</v>
      </c>
      <c r="K42" s="107">
        <f t="shared" si="0"/>
        <v>3580148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4648</v>
      </c>
      <c r="E43" s="116">
        <f>'２月'!K43</f>
        <v>1336216</v>
      </c>
      <c r="F43" s="112">
        <v>6818</v>
      </c>
      <c r="G43" s="111">
        <v>1963549</v>
      </c>
      <c r="H43" s="110">
        <v>6867</v>
      </c>
      <c r="I43" s="109">
        <v>1974030</v>
      </c>
      <c r="J43" s="108">
        <f t="shared" si="0"/>
        <v>4599</v>
      </c>
      <c r="K43" s="107">
        <f t="shared" si="0"/>
        <v>1325735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77</v>
      </c>
      <c r="E44" s="116">
        <f>'２月'!K44</f>
        <v>113700</v>
      </c>
      <c r="F44" s="112">
        <v>3</v>
      </c>
      <c r="G44" s="111">
        <v>4500</v>
      </c>
      <c r="H44" s="110">
        <v>26</v>
      </c>
      <c r="I44" s="109">
        <v>39000</v>
      </c>
      <c r="J44" s="108">
        <f t="shared" si="0"/>
        <v>54</v>
      </c>
      <c r="K44" s="107">
        <f t="shared" si="0"/>
        <v>79200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9724</v>
      </c>
      <c r="E45" s="116">
        <f>'２月'!K45</f>
        <v>3869668</v>
      </c>
      <c r="F45" s="112">
        <v>4737</v>
      </c>
      <c r="G45" s="111">
        <v>896273</v>
      </c>
      <c r="H45" s="110">
        <v>4547</v>
      </c>
      <c r="I45" s="109">
        <v>651449</v>
      </c>
      <c r="J45" s="108">
        <f t="shared" si="0"/>
        <v>9914</v>
      </c>
      <c r="K45" s="107">
        <f t="shared" si="0"/>
        <v>4114492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5352</v>
      </c>
      <c r="E46" s="116">
        <f>'２月'!K46</f>
        <v>961652</v>
      </c>
      <c r="F46" s="105">
        <v>4549</v>
      </c>
      <c r="G46" s="104">
        <v>991741</v>
      </c>
      <c r="H46" s="103">
        <v>4201</v>
      </c>
      <c r="I46" s="102">
        <v>766923</v>
      </c>
      <c r="J46" s="101">
        <f t="shared" si="0"/>
        <v>5700</v>
      </c>
      <c r="K46" s="100">
        <f t="shared" si="0"/>
        <v>1186470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6740</v>
      </c>
      <c r="E47" s="123">
        <f>'２月'!K47</f>
        <v>1983771</v>
      </c>
      <c r="F47" s="112">
        <v>2286</v>
      </c>
      <c r="G47" s="111">
        <v>931453</v>
      </c>
      <c r="H47" s="110">
        <f>2519+12</f>
        <v>2531</v>
      </c>
      <c r="I47" s="109">
        <f>923242+22000</f>
        <v>945242</v>
      </c>
      <c r="J47" s="108">
        <f t="shared" si="0"/>
        <v>6495</v>
      </c>
      <c r="K47" s="107">
        <f t="shared" si="0"/>
        <v>1969982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5259</v>
      </c>
      <c r="E49" s="123">
        <f>'２月'!K49</f>
        <v>1808532</v>
      </c>
      <c r="F49" s="124">
        <v>1654</v>
      </c>
      <c r="G49" s="125">
        <v>648953</v>
      </c>
      <c r="H49" s="126">
        <v>1914</v>
      </c>
      <c r="I49" s="127">
        <v>1006454</v>
      </c>
      <c r="J49" s="128">
        <f t="shared" si="0"/>
        <v>4999</v>
      </c>
      <c r="K49" s="129">
        <f t="shared" si="0"/>
        <v>1451031</v>
      </c>
      <c r="L49" s="92"/>
    </row>
    <row r="50" spans="2:12" ht="21" customHeight="1" thickBot="1" thickTop="1">
      <c r="B50" s="140" t="s">
        <v>46</v>
      </c>
      <c r="C50" s="141"/>
      <c r="D50" s="130">
        <f aca="true" t="shared" si="1" ref="D50:I50">SUM(D10:D49)</f>
        <v>255254</v>
      </c>
      <c r="E50" s="131">
        <f t="shared" si="1"/>
        <v>66449563</v>
      </c>
      <c r="F50" s="132">
        <f t="shared" si="1"/>
        <v>132669</v>
      </c>
      <c r="G50" s="133">
        <f t="shared" si="1"/>
        <v>40649674</v>
      </c>
      <c r="H50" s="132">
        <f t="shared" si="1"/>
        <v>121678</v>
      </c>
      <c r="I50" s="133">
        <f t="shared" si="1"/>
        <v>40325294</v>
      </c>
      <c r="J50" s="134">
        <f t="shared" si="0"/>
        <v>266245</v>
      </c>
      <c r="K50" s="133">
        <f t="shared" si="0"/>
        <v>66773943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22438</v>
      </c>
      <c r="E10" s="116">
        <f>'３月'!K10</f>
        <v>5510101</v>
      </c>
      <c r="F10" s="119">
        <v>1960</v>
      </c>
      <c r="G10" s="118">
        <v>206238</v>
      </c>
      <c r="H10" s="117">
        <v>4751</v>
      </c>
      <c r="I10" s="116">
        <v>805742</v>
      </c>
      <c r="J10" s="115">
        <f aca="true" t="shared" si="0" ref="J10:K50">D10+F10-H10</f>
        <v>19647</v>
      </c>
      <c r="K10" s="114">
        <f t="shared" si="0"/>
        <v>4910597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894</v>
      </c>
      <c r="E11" s="116">
        <f>'３月'!K11</f>
        <v>98580</v>
      </c>
      <c r="F11" s="105">
        <v>200</v>
      </c>
      <c r="G11" s="104">
        <v>30000</v>
      </c>
      <c r="H11" s="103">
        <v>100</v>
      </c>
      <c r="I11" s="102">
        <v>7500</v>
      </c>
      <c r="J11" s="101">
        <f t="shared" si="0"/>
        <v>994</v>
      </c>
      <c r="K11" s="100">
        <f t="shared" si="0"/>
        <v>121080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178</v>
      </c>
      <c r="E12" s="116">
        <f>'３月'!K12</f>
        <v>23474</v>
      </c>
      <c r="F12" s="105">
        <v>0</v>
      </c>
      <c r="G12" s="104">
        <v>0</v>
      </c>
      <c r="H12" s="103">
        <v>67</v>
      </c>
      <c r="I12" s="102">
        <v>8936</v>
      </c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5161</v>
      </c>
      <c r="E13" s="116">
        <f>'３月'!K13</f>
        <v>1261165</v>
      </c>
      <c r="F13" s="105">
        <v>394</v>
      </c>
      <c r="G13" s="104">
        <v>103100</v>
      </c>
      <c r="H13" s="103">
        <v>488</v>
      </c>
      <c r="I13" s="102">
        <v>116238</v>
      </c>
      <c r="J13" s="101">
        <f t="shared" si="0"/>
        <v>5067</v>
      </c>
      <c r="K13" s="100">
        <f t="shared" si="0"/>
        <v>1248027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2262</v>
      </c>
      <c r="E17" s="116">
        <f>'３月'!K17</f>
        <v>6852503</v>
      </c>
      <c r="F17" s="105">
        <v>1344</v>
      </c>
      <c r="G17" s="104">
        <v>4159368</v>
      </c>
      <c r="H17" s="103">
        <v>1338</v>
      </c>
      <c r="I17" s="102">
        <v>4085784</v>
      </c>
      <c r="J17" s="101">
        <f t="shared" si="0"/>
        <v>2268</v>
      </c>
      <c r="K17" s="100">
        <f t="shared" si="0"/>
        <v>6926087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124</v>
      </c>
      <c r="E18" s="116">
        <f>'３月'!K18</f>
        <v>17636</v>
      </c>
      <c r="F18" s="105">
        <v>98</v>
      </c>
      <c r="G18" s="104">
        <v>11681</v>
      </c>
      <c r="H18" s="103">
        <v>101</v>
      </c>
      <c r="I18" s="102">
        <v>12432</v>
      </c>
      <c r="J18" s="101">
        <f t="shared" si="0"/>
        <v>121</v>
      </c>
      <c r="K18" s="100">
        <f t="shared" si="0"/>
        <v>16885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0</v>
      </c>
      <c r="E20" s="116">
        <f>'３月'!K20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8915</v>
      </c>
      <c r="E22" s="116">
        <f>'３月'!K22</f>
        <v>1123827</v>
      </c>
      <c r="F22" s="105">
        <v>1513</v>
      </c>
      <c r="G22" s="104">
        <v>217760</v>
      </c>
      <c r="H22" s="103">
        <v>2000</v>
      </c>
      <c r="I22" s="102">
        <v>264600</v>
      </c>
      <c r="J22" s="101">
        <f t="shared" si="0"/>
        <v>8428</v>
      </c>
      <c r="K22" s="100">
        <f t="shared" si="0"/>
        <v>1076987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2190</v>
      </c>
      <c r="E23" s="116">
        <f>'３月'!K23</f>
        <v>1664808</v>
      </c>
      <c r="F23" s="112">
        <v>673</v>
      </c>
      <c r="G23" s="111">
        <v>745950</v>
      </c>
      <c r="H23" s="110">
        <v>843</v>
      </c>
      <c r="I23" s="109">
        <v>722873</v>
      </c>
      <c r="J23" s="108">
        <f t="shared" si="0"/>
        <v>2020</v>
      </c>
      <c r="K23" s="107">
        <f t="shared" si="0"/>
        <v>1687885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25562</v>
      </c>
      <c r="E24" s="116">
        <f>'３月'!K24</f>
        <v>3203786</v>
      </c>
      <c r="F24" s="105">
        <v>1326</v>
      </c>
      <c r="G24" s="104">
        <v>2422473</v>
      </c>
      <c r="H24" s="103">
        <v>1389</v>
      </c>
      <c r="I24" s="102">
        <v>2444467</v>
      </c>
      <c r="J24" s="101">
        <f t="shared" si="0"/>
        <v>25499</v>
      </c>
      <c r="K24" s="100">
        <f t="shared" si="0"/>
        <v>3181792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7921</v>
      </c>
      <c r="E25" s="116">
        <f>'３月'!K25</f>
        <v>4884960</v>
      </c>
      <c r="F25" s="105">
        <f>5745+13</f>
        <v>5758</v>
      </c>
      <c r="G25" s="104">
        <f>1472789+34800</f>
        <v>1507589</v>
      </c>
      <c r="H25" s="103">
        <f>6044+4</f>
        <v>6048</v>
      </c>
      <c r="I25" s="102">
        <f>2194647+12600</f>
        <v>2207247</v>
      </c>
      <c r="J25" s="101">
        <f t="shared" si="0"/>
        <v>7631</v>
      </c>
      <c r="K25" s="100">
        <f t="shared" si="0"/>
        <v>4185302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19796</v>
      </c>
      <c r="E26" s="116">
        <f>'３月'!K26</f>
        <v>7509444</v>
      </c>
      <c r="F26" s="105">
        <v>6411</v>
      </c>
      <c r="G26" s="104">
        <v>2737543</v>
      </c>
      <c r="H26" s="103">
        <v>6462</v>
      </c>
      <c r="I26" s="102">
        <v>1328625</v>
      </c>
      <c r="J26" s="101">
        <f t="shared" si="0"/>
        <v>19745</v>
      </c>
      <c r="K26" s="100">
        <f t="shared" si="0"/>
        <v>8918362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2083</v>
      </c>
      <c r="E27" s="116">
        <f>'３月'!K27</f>
        <v>332850</v>
      </c>
      <c r="F27" s="105">
        <v>427</v>
      </c>
      <c r="G27" s="104">
        <v>100250</v>
      </c>
      <c r="H27" s="103">
        <v>377</v>
      </c>
      <c r="I27" s="102">
        <v>87900</v>
      </c>
      <c r="J27" s="101">
        <f t="shared" si="0"/>
        <v>2133</v>
      </c>
      <c r="K27" s="100">
        <f t="shared" si="0"/>
        <v>345200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600</v>
      </c>
      <c r="E28" s="116">
        <f>'３月'!K28</f>
        <v>66000</v>
      </c>
      <c r="F28" s="105">
        <v>1100</v>
      </c>
      <c r="G28" s="104">
        <v>121000</v>
      </c>
      <c r="H28" s="103">
        <v>1260</v>
      </c>
      <c r="I28" s="102">
        <v>138600</v>
      </c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1202</v>
      </c>
      <c r="E29" s="116">
        <f>'３月'!K29</f>
        <v>398677</v>
      </c>
      <c r="F29" s="74">
        <f>28+72</f>
        <v>100</v>
      </c>
      <c r="G29" s="111">
        <f>5600+110768</f>
        <v>116368</v>
      </c>
      <c r="H29" s="110">
        <f>32+91</f>
        <v>123</v>
      </c>
      <c r="I29" s="109">
        <f>6400+105100</f>
        <v>111500</v>
      </c>
      <c r="J29" s="108">
        <f t="shared" si="0"/>
        <v>1179</v>
      </c>
      <c r="K29" s="107">
        <f t="shared" si="0"/>
        <v>403545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1620</v>
      </c>
      <c r="E30" s="116">
        <f>'３月'!K30</f>
        <v>959203</v>
      </c>
      <c r="F30" s="112">
        <f>391+146</f>
        <v>537</v>
      </c>
      <c r="G30" s="111">
        <f>253191+135210</f>
        <v>388401</v>
      </c>
      <c r="H30" s="110">
        <f>483+193</f>
        <v>676</v>
      </c>
      <c r="I30" s="109">
        <f>309918+100018</f>
        <v>409936</v>
      </c>
      <c r="J30" s="108">
        <f t="shared" si="0"/>
        <v>1481</v>
      </c>
      <c r="K30" s="107">
        <f t="shared" si="0"/>
        <v>937668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7</v>
      </c>
      <c r="E32" s="116">
        <f>'３月'!K32</f>
        <v>6271</v>
      </c>
      <c r="F32" s="112">
        <v>0</v>
      </c>
      <c r="G32" s="111">
        <v>0</v>
      </c>
      <c r="H32" s="110">
        <v>7</v>
      </c>
      <c r="I32" s="109">
        <v>6271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32918</v>
      </c>
      <c r="E33" s="116">
        <f>'３月'!K33</f>
        <v>9683649</v>
      </c>
      <c r="F33" s="112">
        <v>20953</v>
      </c>
      <c r="G33" s="111">
        <v>5910509</v>
      </c>
      <c r="H33" s="72">
        <v>26197</v>
      </c>
      <c r="I33" s="109">
        <v>7306654</v>
      </c>
      <c r="J33" s="108">
        <f t="shared" si="0"/>
        <v>27674</v>
      </c>
      <c r="K33" s="107">
        <f t="shared" si="0"/>
        <v>8287504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85449</v>
      </c>
      <c r="E34" s="116">
        <f>'３月'!K34</f>
        <v>7751517</v>
      </c>
      <c r="F34" s="112">
        <f>23615+146</f>
        <v>23761</v>
      </c>
      <c r="G34" s="111">
        <f>4829891+375400</f>
        <v>5205291</v>
      </c>
      <c r="H34" s="110">
        <f>25217+153</f>
        <v>25370</v>
      </c>
      <c r="I34" s="109">
        <f>4733726+368324</f>
        <v>5102050</v>
      </c>
      <c r="J34" s="108">
        <f t="shared" si="0"/>
        <v>83840</v>
      </c>
      <c r="K34" s="107">
        <f t="shared" si="0"/>
        <v>7854758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1317</v>
      </c>
      <c r="E35" s="116">
        <f>'３月'!K35</f>
        <v>114264</v>
      </c>
      <c r="F35" s="112">
        <v>1162</v>
      </c>
      <c r="G35" s="111">
        <v>130210</v>
      </c>
      <c r="H35" s="110">
        <v>1116</v>
      </c>
      <c r="I35" s="109">
        <v>111526</v>
      </c>
      <c r="J35" s="108">
        <f t="shared" si="0"/>
        <v>1363</v>
      </c>
      <c r="K35" s="107">
        <f t="shared" si="0"/>
        <v>132948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260</v>
      </c>
      <c r="E36" s="116">
        <f>'３月'!K36</f>
        <v>131850</v>
      </c>
      <c r="F36" s="112">
        <v>110</v>
      </c>
      <c r="G36" s="111">
        <v>292050</v>
      </c>
      <c r="H36" s="110">
        <v>106</v>
      </c>
      <c r="I36" s="109">
        <v>255190</v>
      </c>
      <c r="J36" s="108">
        <f t="shared" si="0"/>
        <v>264</v>
      </c>
      <c r="K36" s="107">
        <f t="shared" si="0"/>
        <v>168710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759</v>
      </c>
      <c r="E38" s="116">
        <f>'３月'!K38</f>
        <v>147920</v>
      </c>
      <c r="F38" s="112">
        <v>20</v>
      </c>
      <c r="G38" s="111">
        <v>4000</v>
      </c>
      <c r="H38" s="110">
        <v>40</v>
      </c>
      <c r="I38" s="109">
        <v>8000</v>
      </c>
      <c r="J38" s="108">
        <f t="shared" si="0"/>
        <v>739</v>
      </c>
      <c r="K38" s="107">
        <f t="shared" si="0"/>
        <v>143920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1204</v>
      </c>
      <c r="E39" s="116">
        <f>'３月'!K39</f>
        <v>1324400</v>
      </c>
      <c r="F39" s="112">
        <v>400</v>
      </c>
      <c r="G39" s="111">
        <v>440000</v>
      </c>
      <c r="H39" s="110">
        <v>400</v>
      </c>
      <c r="I39" s="109">
        <v>440000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11624</v>
      </c>
      <c r="E42" s="116">
        <f>'３月'!K42</f>
        <v>3580148</v>
      </c>
      <c r="F42" s="112">
        <v>23721</v>
      </c>
      <c r="G42" s="111">
        <v>6660134</v>
      </c>
      <c r="H42" s="110">
        <v>23809</v>
      </c>
      <c r="I42" s="109">
        <v>6694456</v>
      </c>
      <c r="J42" s="108">
        <f t="shared" si="0"/>
        <v>11536</v>
      </c>
      <c r="K42" s="107">
        <f t="shared" si="0"/>
        <v>3545826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4599</v>
      </c>
      <c r="E43" s="116">
        <f>'３月'!K43</f>
        <v>1325735</v>
      </c>
      <c r="F43" s="112">
        <v>7834</v>
      </c>
      <c r="G43" s="111">
        <v>2412982</v>
      </c>
      <c r="H43" s="110">
        <v>8164</v>
      </c>
      <c r="I43" s="109">
        <v>2503166</v>
      </c>
      <c r="J43" s="108">
        <f t="shared" si="0"/>
        <v>4269</v>
      </c>
      <c r="K43" s="107">
        <f t="shared" si="0"/>
        <v>1235551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54</v>
      </c>
      <c r="E44" s="116">
        <f>'３月'!K44</f>
        <v>79200</v>
      </c>
      <c r="F44" s="112">
        <v>4</v>
      </c>
      <c r="G44" s="111">
        <v>4561</v>
      </c>
      <c r="H44" s="110">
        <v>5</v>
      </c>
      <c r="I44" s="109">
        <v>6001</v>
      </c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9914</v>
      </c>
      <c r="E45" s="116">
        <f>'３月'!K45</f>
        <v>4114492</v>
      </c>
      <c r="F45" s="112">
        <v>3504</v>
      </c>
      <c r="G45" s="111">
        <v>870473</v>
      </c>
      <c r="H45" s="110">
        <v>3351</v>
      </c>
      <c r="I45" s="109">
        <v>1022293</v>
      </c>
      <c r="J45" s="108">
        <f t="shared" si="0"/>
        <v>10067</v>
      </c>
      <c r="K45" s="107">
        <f t="shared" si="0"/>
        <v>3962672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5700</v>
      </c>
      <c r="E46" s="116">
        <f>'３月'!K46</f>
        <v>1186470</v>
      </c>
      <c r="F46" s="105">
        <v>4163</v>
      </c>
      <c r="G46" s="104">
        <v>723915</v>
      </c>
      <c r="H46" s="103">
        <v>3589</v>
      </c>
      <c r="I46" s="102">
        <v>639130</v>
      </c>
      <c r="J46" s="101">
        <f t="shared" si="0"/>
        <v>6274</v>
      </c>
      <c r="K46" s="100">
        <f t="shared" si="0"/>
        <v>1271255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6495</v>
      </c>
      <c r="E47" s="116">
        <f>'３月'!K47</f>
        <v>1969982</v>
      </c>
      <c r="F47" s="105">
        <v>2301</v>
      </c>
      <c r="G47" s="104">
        <v>858403</v>
      </c>
      <c r="H47" s="103">
        <v>2371</v>
      </c>
      <c r="I47" s="102">
        <v>870176</v>
      </c>
      <c r="J47" s="101">
        <f t="shared" si="0"/>
        <v>6425</v>
      </c>
      <c r="K47" s="100">
        <f t="shared" si="0"/>
        <v>1958209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4999</v>
      </c>
      <c r="E49" s="116">
        <f>'３月'!K49</f>
        <v>1451031</v>
      </c>
      <c r="F49" s="98">
        <v>6004</v>
      </c>
      <c r="G49" s="97">
        <v>1888357</v>
      </c>
      <c r="H49" s="96">
        <v>5451</v>
      </c>
      <c r="I49" s="95">
        <v>1365854</v>
      </c>
      <c r="J49" s="94">
        <f t="shared" si="0"/>
        <v>5552</v>
      </c>
      <c r="K49" s="93">
        <f t="shared" si="0"/>
        <v>1973534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266245</v>
      </c>
      <c r="E50" s="90">
        <f t="shared" si="1"/>
        <v>66773943</v>
      </c>
      <c r="F50" s="89">
        <f t="shared" si="1"/>
        <v>115778</v>
      </c>
      <c r="G50" s="87">
        <f t="shared" si="1"/>
        <v>38268606</v>
      </c>
      <c r="H50" s="89">
        <f t="shared" si="1"/>
        <v>125999</v>
      </c>
      <c r="I50" s="87">
        <f t="shared" si="1"/>
        <v>39083147</v>
      </c>
      <c r="J50" s="88">
        <f t="shared" si="0"/>
        <v>256024</v>
      </c>
      <c r="K50" s="87">
        <f t="shared" si="0"/>
        <v>65959402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19647</v>
      </c>
      <c r="E10" s="116">
        <f>'４月'!K10</f>
        <v>4910597</v>
      </c>
      <c r="F10" s="119">
        <v>4954</v>
      </c>
      <c r="G10" s="118">
        <v>689905</v>
      </c>
      <c r="H10" s="117">
        <v>5067</v>
      </c>
      <c r="I10" s="116">
        <v>1047251</v>
      </c>
      <c r="J10" s="115">
        <f aca="true" t="shared" si="0" ref="J10:K50">D10+F10-H10</f>
        <v>19534</v>
      </c>
      <c r="K10" s="114">
        <f t="shared" si="0"/>
        <v>4553251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994</v>
      </c>
      <c r="E11" s="116">
        <f>'４月'!K11</f>
        <v>121080</v>
      </c>
      <c r="F11" s="105">
        <v>600</v>
      </c>
      <c r="G11" s="104">
        <v>90000</v>
      </c>
      <c r="H11" s="103">
        <v>200</v>
      </c>
      <c r="I11" s="102">
        <v>45000</v>
      </c>
      <c r="J11" s="101">
        <f t="shared" si="0"/>
        <v>1394</v>
      </c>
      <c r="K11" s="100">
        <f t="shared" si="0"/>
        <v>166080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111</v>
      </c>
      <c r="E12" s="116">
        <f>'４月'!K12</f>
        <v>14538</v>
      </c>
      <c r="F12" s="105">
        <v>159</v>
      </c>
      <c r="G12" s="104">
        <v>21188</v>
      </c>
      <c r="H12" s="103">
        <v>159</v>
      </c>
      <c r="I12" s="102">
        <v>21188</v>
      </c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5067</v>
      </c>
      <c r="E13" s="116">
        <f>'４月'!K13</f>
        <v>1248027</v>
      </c>
      <c r="F13" s="105">
        <v>1568</v>
      </c>
      <c r="G13" s="104">
        <v>304487</v>
      </c>
      <c r="H13" s="103">
        <v>943</v>
      </c>
      <c r="I13" s="102">
        <v>188467</v>
      </c>
      <c r="J13" s="101">
        <f t="shared" si="0"/>
        <v>5692</v>
      </c>
      <c r="K13" s="100">
        <f t="shared" si="0"/>
        <v>1364047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2268</v>
      </c>
      <c r="E17" s="116">
        <f>'４月'!K17</f>
        <v>6926087</v>
      </c>
      <c r="F17" s="105">
        <v>1320</v>
      </c>
      <c r="G17" s="104">
        <v>4225183</v>
      </c>
      <c r="H17" s="103">
        <v>1379</v>
      </c>
      <c r="I17" s="102">
        <v>4211277</v>
      </c>
      <c r="J17" s="101">
        <f t="shared" si="0"/>
        <v>2209</v>
      </c>
      <c r="K17" s="100">
        <f t="shared" si="0"/>
        <v>6939993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121</v>
      </c>
      <c r="E18" s="116">
        <f>'４月'!K18</f>
        <v>16885</v>
      </c>
      <c r="F18" s="105">
        <v>104</v>
      </c>
      <c r="G18" s="104">
        <v>12686</v>
      </c>
      <c r="H18" s="103">
        <v>96</v>
      </c>
      <c r="I18" s="102">
        <v>11787</v>
      </c>
      <c r="J18" s="101">
        <f t="shared" si="0"/>
        <v>129</v>
      </c>
      <c r="K18" s="100">
        <f t="shared" si="0"/>
        <v>17784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0</v>
      </c>
      <c r="E20" s="116">
        <f>'４月'!K20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8428</v>
      </c>
      <c r="E22" s="116">
        <f>'４月'!K22</f>
        <v>1076987</v>
      </c>
      <c r="F22" s="105">
        <v>1403</v>
      </c>
      <c r="G22" s="104">
        <v>215040</v>
      </c>
      <c r="H22" s="103">
        <v>2620</v>
      </c>
      <c r="I22" s="102">
        <v>350600</v>
      </c>
      <c r="J22" s="101">
        <f t="shared" si="0"/>
        <v>7211</v>
      </c>
      <c r="K22" s="100">
        <f t="shared" si="0"/>
        <v>941427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2020</v>
      </c>
      <c r="E23" s="116">
        <f>'４月'!K23</f>
        <v>1687885</v>
      </c>
      <c r="F23" s="112">
        <v>822</v>
      </c>
      <c r="G23" s="111">
        <v>536950</v>
      </c>
      <c r="H23" s="110">
        <v>677</v>
      </c>
      <c r="I23" s="109">
        <v>552652</v>
      </c>
      <c r="J23" s="108">
        <f t="shared" si="0"/>
        <v>2165</v>
      </c>
      <c r="K23" s="107">
        <f t="shared" si="0"/>
        <v>1672183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25499</v>
      </c>
      <c r="E24" s="116">
        <f>'４月'!K24</f>
        <v>3181792</v>
      </c>
      <c r="F24" s="105">
        <v>1241</v>
      </c>
      <c r="G24" s="104">
        <v>480109</v>
      </c>
      <c r="H24" s="103">
        <v>1194</v>
      </c>
      <c r="I24" s="102">
        <v>478711</v>
      </c>
      <c r="J24" s="101">
        <f t="shared" si="0"/>
        <v>25546</v>
      </c>
      <c r="K24" s="100">
        <f t="shared" si="0"/>
        <v>3183190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7631</v>
      </c>
      <c r="E25" s="116">
        <f>'４月'!K25</f>
        <v>4185302</v>
      </c>
      <c r="F25" s="105">
        <f>5658+8</f>
        <v>5666</v>
      </c>
      <c r="G25" s="104">
        <f>1494403+23154</f>
        <v>1517557</v>
      </c>
      <c r="H25" s="103">
        <f>5280+24</f>
        <v>5304</v>
      </c>
      <c r="I25" s="102">
        <f>1779997+101223</f>
        <v>1881220</v>
      </c>
      <c r="J25" s="101">
        <f t="shared" si="0"/>
        <v>7993</v>
      </c>
      <c r="K25" s="100">
        <f t="shared" si="0"/>
        <v>3821639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19745</v>
      </c>
      <c r="E26" s="116">
        <f>'４月'!K26</f>
        <v>8918362</v>
      </c>
      <c r="F26" s="105">
        <v>6384</v>
      </c>
      <c r="G26" s="104">
        <v>3128128</v>
      </c>
      <c r="H26" s="103">
        <v>6720</v>
      </c>
      <c r="I26" s="102">
        <v>3454320</v>
      </c>
      <c r="J26" s="101">
        <f t="shared" si="0"/>
        <v>19409</v>
      </c>
      <c r="K26" s="100">
        <f t="shared" si="0"/>
        <v>8592170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2133</v>
      </c>
      <c r="E27" s="116">
        <f>'４月'!K27</f>
        <v>345200</v>
      </c>
      <c r="F27" s="105">
        <v>516</v>
      </c>
      <c r="G27" s="104">
        <v>109550</v>
      </c>
      <c r="H27" s="103">
        <v>363</v>
      </c>
      <c r="I27" s="102">
        <v>83350</v>
      </c>
      <c r="J27" s="101">
        <f t="shared" si="0"/>
        <v>2286</v>
      </c>
      <c r="K27" s="100">
        <f t="shared" si="0"/>
        <v>371400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440</v>
      </c>
      <c r="E28" s="116">
        <f>'４月'!K28</f>
        <v>48400</v>
      </c>
      <c r="F28" s="105">
        <v>970</v>
      </c>
      <c r="G28" s="104">
        <v>106700</v>
      </c>
      <c r="H28" s="103">
        <v>970</v>
      </c>
      <c r="I28" s="102">
        <v>106700</v>
      </c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1179</v>
      </c>
      <c r="E29" s="116">
        <f>'４月'!K29</f>
        <v>403545</v>
      </c>
      <c r="F29" s="74">
        <f>35+74</f>
        <v>109</v>
      </c>
      <c r="G29" s="111">
        <f>7000+111622</f>
        <v>118622</v>
      </c>
      <c r="H29" s="110">
        <f>32+107</f>
        <v>139</v>
      </c>
      <c r="I29" s="109">
        <f>6400+114599</f>
        <v>120999</v>
      </c>
      <c r="J29" s="108">
        <f t="shared" si="0"/>
        <v>1149</v>
      </c>
      <c r="K29" s="107">
        <f t="shared" si="0"/>
        <v>401168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1481</v>
      </c>
      <c r="E30" s="116">
        <f>'４月'!K30</f>
        <v>937668</v>
      </c>
      <c r="F30" s="112">
        <f>477+4</f>
        <v>481</v>
      </c>
      <c r="G30" s="111">
        <f>327924+4430</f>
        <v>332354</v>
      </c>
      <c r="H30" s="110">
        <f>412+6</f>
        <v>418</v>
      </c>
      <c r="I30" s="109">
        <f>240513+7315</f>
        <v>247828</v>
      </c>
      <c r="J30" s="108">
        <f t="shared" si="0"/>
        <v>1544</v>
      </c>
      <c r="K30" s="107">
        <f t="shared" si="0"/>
        <v>1022194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0</v>
      </c>
      <c r="E32" s="116">
        <f>'４月'!K32</f>
        <v>0</v>
      </c>
      <c r="F32" s="112">
        <v>4</v>
      </c>
      <c r="G32" s="111">
        <v>3460</v>
      </c>
      <c r="H32" s="110">
        <v>4</v>
      </c>
      <c r="I32" s="109">
        <v>3460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27674</v>
      </c>
      <c r="E33" s="116">
        <f>'４月'!K33</f>
        <v>8287504</v>
      </c>
      <c r="F33" s="112">
        <v>19699</v>
      </c>
      <c r="G33" s="111">
        <v>6683699</v>
      </c>
      <c r="H33" s="72">
        <v>18776</v>
      </c>
      <c r="I33" s="109">
        <v>5569149</v>
      </c>
      <c r="J33" s="108">
        <f t="shared" si="0"/>
        <v>28597</v>
      </c>
      <c r="K33" s="107">
        <f t="shared" si="0"/>
        <v>9402054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83840</v>
      </c>
      <c r="E34" s="116">
        <f>'４月'!K34</f>
        <v>7854758</v>
      </c>
      <c r="F34" s="112">
        <f>29639+151</f>
        <v>29790</v>
      </c>
      <c r="G34" s="111">
        <f>4877789+345800</f>
        <v>5223589</v>
      </c>
      <c r="H34" s="110">
        <f>28251+143</f>
        <v>28394</v>
      </c>
      <c r="I34" s="109">
        <f>4912476+360213</f>
        <v>5272689</v>
      </c>
      <c r="J34" s="108">
        <f t="shared" si="0"/>
        <v>85236</v>
      </c>
      <c r="K34" s="107">
        <f t="shared" si="0"/>
        <v>7805658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1363</v>
      </c>
      <c r="E35" s="116">
        <f>'４月'!K35</f>
        <v>132948</v>
      </c>
      <c r="F35" s="112">
        <v>1083</v>
      </c>
      <c r="G35" s="111">
        <v>79245</v>
      </c>
      <c r="H35" s="110">
        <v>1032</v>
      </c>
      <c r="I35" s="109">
        <v>83207</v>
      </c>
      <c r="J35" s="108">
        <f t="shared" si="0"/>
        <v>1414</v>
      </c>
      <c r="K35" s="107">
        <f t="shared" si="0"/>
        <v>128986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264</v>
      </c>
      <c r="E36" s="116">
        <f>'４月'!K36</f>
        <v>168710</v>
      </c>
      <c r="F36" s="112">
        <v>40</v>
      </c>
      <c r="G36" s="111">
        <v>254610</v>
      </c>
      <c r="H36" s="110">
        <v>102</v>
      </c>
      <c r="I36" s="109">
        <v>318640</v>
      </c>
      <c r="J36" s="108">
        <f t="shared" si="0"/>
        <v>202</v>
      </c>
      <c r="K36" s="107">
        <f t="shared" si="0"/>
        <v>104680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739</v>
      </c>
      <c r="E38" s="116">
        <f>'４月'!K38</f>
        <v>143920</v>
      </c>
      <c r="F38" s="112">
        <v>50</v>
      </c>
      <c r="G38" s="111">
        <v>10750</v>
      </c>
      <c r="H38" s="110">
        <v>50</v>
      </c>
      <c r="I38" s="109">
        <v>10000</v>
      </c>
      <c r="J38" s="108">
        <f t="shared" si="0"/>
        <v>739</v>
      </c>
      <c r="K38" s="107">
        <f t="shared" si="0"/>
        <v>144670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1204</v>
      </c>
      <c r="E39" s="116">
        <f>'４月'!K39</f>
        <v>1324400</v>
      </c>
      <c r="F39" s="112">
        <v>300</v>
      </c>
      <c r="G39" s="111">
        <v>330000</v>
      </c>
      <c r="H39" s="110">
        <v>280</v>
      </c>
      <c r="I39" s="109">
        <v>308000</v>
      </c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11536</v>
      </c>
      <c r="E42" s="116">
        <f>'４月'!K42</f>
        <v>3545826</v>
      </c>
      <c r="F42" s="112">
        <v>22085</v>
      </c>
      <c r="G42" s="111">
        <v>5969722</v>
      </c>
      <c r="H42" s="110">
        <v>17458</v>
      </c>
      <c r="I42" s="109">
        <v>4687396</v>
      </c>
      <c r="J42" s="108">
        <f t="shared" si="0"/>
        <v>16163</v>
      </c>
      <c r="K42" s="107">
        <f t="shared" si="0"/>
        <v>4828152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4269</v>
      </c>
      <c r="E43" s="116">
        <f>'４月'!K43</f>
        <v>1235551</v>
      </c>
      <c r="F43" s="112">
        <v>7787</v>
      </c>
      <c r="G43" s="111">
        <v>2413077</v>
      </c>
      <c r="H43" s="110">
        <v>7259</v>
      </c>
      <c r="I43" s="109">
        <v>2241687</v>
      </c>
      <c r="J43" s="108">
        <f t="shared" si="0"/>
        <v>4797</v>
      </c>
      <c r="K43" s="107">
        <f t="shared" si="0"/>
        <v>1406941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53</v>
      </c>
      <c r="E44" s="116">
        <f>'４月'!K44</f>
        <v>77760</v>
      </c>
      <c r="F44" s="112">
        <v>4</v>
      </c>
      <c r="G44" s="111">
        <v>4530</v>
      </c>
      <c r="H44" s="110">
        <v>3</v>
      </c>
      <c r="I44" s="109">
        <v>3060</v>
      </c>
      <c r="J44" s="108">
        <f t="shared" si="0"/>
        <v>54</v>
      </c>
      <c r="K44" s="107">
        <f t="shared" si="0"/>
        <v>79230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10067</v>
      </c>
      <c r="E45" s="116">
        <f>'４月'!K45</f>
        <v>3962672</v>
      </c>
      <c r="F45" s="112">
        <v>3850</v>
      </c>
      <c r="G45" s="137">
        <v>615318</v>
      </c>
      <c r="H45" s="110">
        <v>5563</v>
      </c>
      <c r="I45" s="109">
        <v>846197</v>
      </c>
      <c r="J45" s="108">
        <f t="shared" si="0"/>
        <v>8354</v>
      </c>
      <c r="K45" s="107">
        <f t="shared" si="0"/>
        <v>3731793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6274</v>
      </c>
      <c r="E46" s="116">
        <f>'４月'!K46</f>
        <v>1271255</v>
      </c>
      <c r="F46" s="105">
        <v>4050</v>
      </c>
      <c r="G46" s="104">
        <v>843636</v>
      </c>
      <c r="H46" s="103">
        <v>2616</v>
      </c>
      <c r="I46" s="102">
        <v>480025</v>
      </c>
      <c r="J46" s="101">
        <f t="shared" si="0"/>
        <v>7708</v>
      </c>
      <c r="K46" s="100">
        <f t="shared" si="0"/>
        <v>1634866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6425</v>
      </c>
      <c r="E47" s="116">
        <f>'４月'!K47</f>
        <v>1958209</v>
      </c>
      <c r="F47" s="105">
        <v>2027</v>
      </c>
      <c r="G47" s="104">
        <v>758384</v>
      </c>
      <c r="H47" s="103">
        <v>2154</v>
      </c>
      <c r="I47" s="102">
        <v>818342</v>
      </c>
      <c r="J47" s="101">
        <f t="shared" si="0"/>
        <v>6298</v>
      </c>
      <c r="K47" s="100">
        <f t="shared" si="0"/>
        <v>1898251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5552</v>
      </c>
      <c r="E49" s="116">
        <f>'４月'!K49</f>
        <v>1973534</v>
      </c>
      <c r="F49" s="98">
        <v>5498</v>
      </c>
      <c r="G49" s="97">
        <v>1370321</v>
      </c>
      <c r="H49" s="96">
        <v>5551</v>
      </c>
      <c r="I49" s="95">
        <v>1277818</v>
      </c>
      <c r="J49" s="94">
        <f t="shared" si="0"/>
        <v>5499</v>
      </c>
      <c r="K49" s="93">
        <f t="shared" si="0"/>
        <v>2066037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256024</v>
      </c>
      <c r="E50" s="90">
        <f t="shared" si="1"/>
        <v>65959402</v>
      </c>
      <c r="F50" s="89">
        <f t="shared" si="1"/>
        <v>122564</v>
      </c>
      <c r="G50" s="87">
        <f t="shared" si="1"/>
        <v>36448800</v>
      </c>
      <c r="H50" s="89">
        <f t="shared" si="1"/>
        <v>115491</v>
      </c>
      <c r="I50" s="87">
        <f t="shared" si="1"/>
        <v>34721020</v>
      </c>
      <c r="J50" s="88">
        <f t="shared" si="0"/>
        <v>263097</v>
      </c>
      <c r="K50" s="87">
        <f t="shared" si="0"/>
        <v>67687182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37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P43" sqref="P4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19534</v>
      </c>
      <c r="E10" s="116">
        <f>'５月'!K10</f>
        <v>4553251</v>
      </c>
      <c r="F10" s="119">
        <v>1895</v>
      </c>
      <c r="G10" s="118">
        <v>178031</v>
      </c>
      <c r="H10" s="117">
        <v>4380</v>
      </c>
      <c r="I10" s="116">
        <v>850940</v>
      </c>
      <c r="J10" s="115">
        <f aca="true" t="shared" si="0" ref="J10:K50">D10+F10-H10</f>
        <v>17049</v>
      </c>
      <c r="K10" s="114">
        <f t="shared" si="0"/>
        <v>3880342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1394</v>
      </c>
      <c r="E11" s="116">
        <f>'５月'!K11</f>
        <v>166080</v>
      </c>
      <c r="F11" s="105">
        <v>400</v>
      </c>
      <c r="G11" s="104">
        <v>60000</v>
      </c>
      <c r="H11" s="103">
        <v>300</v>
      </c>
      <c r="I11" s="102">
        <v>45000</v>
      </c>
      <c r="J11" s="101">
        <f t="shared" si="0"/>
        <v>1494</v>
      </c>
      <c r="K11" s="100">
        <f t="shared" si="0"/>
        <v>181080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111</v>
      </c>
      <c r="E12" s="116">
        <f>'５月'!K12</f>
        <v>14538</v>
      </c>
      <c r="F12" s="105">
        <v>98</v>
      </c>
      <c r="G12" s="104">
        <v>13034</v>
      </c>
      <c r="H12" s="103">
        <v>38</v>
      </c>
      <c r="I12" s="102">
        <v>5107</v>
      </c>
      <c r="J12" s="101">
        <f t="shared" si="0"/>
        <v>171</v>
      </c>
      <c r="K12" s="100">
        <f t="shared" si="0"/>
        <v>22465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5692</v>
      </c>
      <c r="E13" s="116">
        <f>'５月'!K13</f>
        <v>1364047</v>
      </c>
      <c r="F13" s="105">
        <v>1414</v>
      </c>
      <c r="G13" s="104">
        <v>350011</v>
      </c>
      <c r="H13" s="103">
        <v>519</v>
      </c>
      <c r="I13" s="102">
        <v>134567</v>
      </c>
      <c r="J13" s="101">
        <f t="shared" si="0"/>
        <v>6587</v>
      </c>
      <c r="K13" s="100">
        <f t="shared" si="0"/>
        <v>1579491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2209</v>
      </c>
      <c r="E17" s="116">
        <f>'５月'!K17</f>
        <v>6939993</v>
      </c>
      <c r="F17" s="105">
        <v>1199</v>
      </c>
      <c r="G17" s="104">
        <v>3603611</v>
      </c>
      <c r="H17" s="103">
        <v>1159</v>
      </c>
      <c r="I17" s="102">
        <v>3509817</v>
      </c>
      <c r="J17" s="101">
        <f t="shared" si="0"/>
        <v>2249</v>
      </c>
      <c r="K17" s="100">
        <f t="shared" si="0"/>
        <v>7033787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129</v>
      </c>
      <c r="E18" s="116">
        <f>'５月'!K18</f>
        <v>17784</v>
      </c>
      <c r="F18" s="105">
        <v>104</v>
      </c>
      <c r="G18" s="104">
        <v>14536</v>
      </c>
      <c r="H18" s="103">
        <v>124</v>
      </c>
      <c r="I18" s="102">
        <v>14620</v>
      </c>
      <c r="J18" s="101">
        <f t="shared" si="0"/>
        <v>109</v>
      </c>
      <c r="K18" s="100">
        <f t="shared" si="0"/>
        <v>17700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0</v>
      </c>
      <c r="E20" s="116">
        <f>'５月'!K20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7211</v>
      </c>
      <c r="E22" s="116">
        <f>'５月'!K22</f>
        <v>941427</v>
      </c>
      <c r="F22" s="105">
        <v>2189</v>
      </c>
      <c r="G22" s="104">
        <v>302930</v>
      </c>
      <c r="H22" s="103">
        <v>2218</v>
      </c>
      <c r="I22" s="102">
        <v>318250</v>
      </c>
      <c r="J22" s="101">
        <f t="shared" si="0"/>
        <v>7182</v>
      </c>
      <c r="K22" s="100">
        <f t="shared" si="0"/>
        <v>926107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2165</v>
      </c>
      <c r="E23" s="116">
        <f>'５月'!K23</f>
        <v>1672183</v>
      </c>
      <c r="F23" s="112">
        <v>752</v>
      </c>
      <c r="G23" s="111">
        <v>721000</v>
      </c>
      <c r="H23" s="110">
        <v>873</v>
      </c>
      <c r="I23" s="109">
        <v>1023740</v>
      </c>
      <c r="J23" s="108">
        <f t="shared" si="0"/>
        <v>2044</v>
      </c>
      <c r="K23" s="107">
        <f t="shared" si="0"/>
        <v>1369443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25546</v>
      </c>
      <c r="E24" s="116">
        <f>'５月'!K24</f>
        <v>3183190</v>
      </c>
      <c r="F24" s="105">
        <v>862</v>
      </c>
      <c r="G24" s="104">
        <v>422947</v>
      </c>
      <c r="H24" s="103">
        <v>879</v>
      </c>
      <c r="I24" s="102">
        <v>418004</v>
      </c>
      <c r="J24" s="101">
        <f t="shared" si="0"/>
        <v>25529</v>
      </c>
      <c r="K24" s="100">
        <f t="shared" si="0"/>
        <v>3188133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7993</v>
      </c>
      <c r="E25" s="116">
        <f>'５月'!K25</f>
        <v>3821639</v>
      </c>
      <c r="F25" s="105">
        <f>7990+57</f>
        <v>8047</v>
      </c>
      <c r="G25" s="104">
        <f>2135375+216523</f>
        <v>2351898</v>
      </c>
      <c r="H25" s="103">
        <f>5452+36</f>
        <v>5488</v>
      </c>
      <c r="I25" s="102">
        <f>1811676+131361</f>
        <v>1943037</v>
      </c>
      <c r="J25" s="101">
        <f t="shared" si="0"/>
        <v>10552</v>
      </c>
      <c r="K25" s="100">
        <f t="shared" si="0"/>
        <v>4230500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19409</v>
      </c>
      <c r="E26" s="116">
        <f>'５月'!K26</f>
        <v>8592170</v>
      </c>
      <c r="F26" s="105">
        <v>6778</v>
      </c>
      <c r="G26" s="104">
        <v>1300615</v>
      </c>
      <c r="H26" s="103">
        <v>6652</v>
      </c>
      <c r="I26" s="102">
        <v>1403977</v>
      </c>
      <c r="J26" s="101">
        <f t="shared" si="0"/>
        <v>19535</v>
      </c>
      <c r="K26" s="100">
        <f t="shared" si="0"/>
        <v>8488808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2286</v>
      </c>
      <c r="E27" s="116">
        <f>'５月'!K27</f>
        <v>371400</v>
      </c>
      <c r="F27" s="105">
        <v>605</v>
      </c>
      <c r="G27" s="104">
        <v>114700</v>
      </c>
      <c r="H27" s="103">
        <v>412</v>
      </c>
      <c r="I27" s="102">
        <v>88900</v>
      </c>
      <c r="J27" s="101">
        <f t="shared" si="0"/>
        <v>2479</v>
      </c>
      <c r="K27" s="100">
        <f t="shared" si="0"/>
        <v>397200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440</v>
      </c>
      <c r="E28" s="116">
        <f>'５月'!K28</f>
        <v>48400</v>
      </c>
      <c r="F28" s="105">
        <v>870</v>
      </c>
      <c r="G28" s="104">
        <v>95700</v>
      </c>
      <c r="H28" s="103">
        <v>860</v>
      </c>
      <c r="I28" s="102">
        <v>94600</v>
      </c>
      <c r="J28" s="101">
        <f t="shared" si="0"/>
        <v>450</v>
      </c>
      <c r="K28" s="100">
        <f t="shared" si="0"/>
        <v>49500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1149</v>
      </c>
      <c r="E29" s="116">
        <f>'５月'!K29</f>
        <v>401168</v>
      </c>
      <c r="F29" s="74">
        <f>50+115</f>
        <v>165</v>
      </c>
      <c r="G29" s="111">
        <f>10000+123477</f>
        <v>133477</v>
      </c>
      <c r="H29" s="110">
        <f>38+97</f>
        <v>135</v>
      </c>
      <c r="I29" s="109">
        <f>7600+113973</f>
        <v>121573</v>
      </c>
      <c r="J29" s="108">
        <f t="shared" si="0"/>
        <v>1179</v>
      </c>
      <c r="K29" s="107">
        <f t="shared" si="0"/>
        <v>413072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1544</v>
      </c>
      <c r="E30" s="116">
        <f>'５月'!K30</f>
        <v>1022194</v>
      </c>
      <c r="F30" s="112">
        <f>409+545</f>
        <v>954</v>
      </c>
      <c r="G30" s="111">
        <f>266568+69930</f>
        <v>336498</v>
      </c>
      <c r="H30" s="110">
        <f>386+278</f>
        <v>664</v>
      </c>
      <c r="I30" s="109">
        <f>226476+98756</f>
        <v>325232</v>
      </c>
      <c r="J30" s="108">
        <f t="shared" si="0"/>
        <v>1834</v>
      </c>
      <c r="K30" s="107">
        <f t="shared" si="0"/>
        <v>1033460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0</v>
      </c>
      <c r="E32" s="116">
        <f>'５月'!K32</f>
        <v>0</v>
      </c>
      <c r="F32" s="112">
        <v>3</v>
      </c>
      <c r="G32" s="111">
        <v>2941</v>
      </c>
      <c r="H32" s="110">
        <v>3</v>
      </c>
      <c r="I32" s="109">
        <v>2941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28597</v>
      </c>
      <c r="E33" s="116">
        <f>'５月'!K33</f>
        <v>9402054</v>
      </c>
      <c r="F33" s="112">
        <v>18455</v>
      </c>
      <c r="G33" s="111">
        <v>5551900</v>
      </c>
      <c r="H33" s="72">
        <v>20688</v>
      </c>
      <c r="I33" s="109">
        <v>6206495</v>
      </c>
      <c r="J33" s="108">
        <f t="shared" si="0"/>
        <v>26364</v>
      </c>
      <c r="K33" s="107">
        <f t="shared" si="0"/>
        <v>8747459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85236</v>
      </c>
      <c r="E34" s="116">
        <f>'５月'!K34</f>
        <v>7805658</v>
      </c>
      <c r="F34" s="112">
        <f>25029+140</f>
        <v>25169</v>
      </c>
      <c r="G34" s="111">
        <f>4950723+357400</f>
        <v>5308123</v>
      </c>
      <c r="H34" s="110">
        <f>25158+135</f>
        <v>25293</v>
      </c>
      <c r="I34" s="109">
        <f>4835261+336905</f>
        <v>5172166</v>
      </c>
      <c r="J34" s="108">
        <f t="shared" si="0"/>
        <v>85112</v>
      </c>
      <c r="K34" s="107">
        <f t="shared" si="0"/>
        <v>7941615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1414</v>
      </c>
      <c r="E35" s="116">
        <f>'５月'!K35</f>
        <v>128986</v>
      </c>
      <c r="F35" s="112">
        <v>700</v>
      </c>
      <c r="G35" s="111">
        <v>53456</v>
      </c>
      <c r="H35" s="110">
        <v>738</v>
      </c>
      <c r="I35" s="109">
        <v>59068</v>
      </c>
      <c r="J35" s="108">
        <f t="shared" si="0"/>
        <v>1376</v>
      </c>
      <c r="K35" s="107">
        <f t="shared" si="0"/>
        <v>123374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202</v>
      </c>
      <c r="E36" s="116">
        <f>'５月'!K36</f>
        <v>104680</v>
      </c>
      <c r="F36" s="112">
        <v>174</v>
      </c>
      <c r="G36" s="111">
        <v>855862</v>
      </c>
      <c r="H36" s="110">
        <v>146</v>
      </c>
      <c r="I36" s="109">
        <v>304780</v>
      </c>
      <c r="J36" s="108">
        <f t="shared" si="0"/>
        <v>230</v>
      </c>
      <c r="K36" s="107">
        <f t="shared" si="0"/>
        <v>655762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739</v>
      </c>
      <c r="E38" s="116">
        <f>'５月'!K38</f>
        <v>144670</v>
      </c>
      <c r="F38" s="112">
        <v>87</v>
      </c>
      <c r="G38" s="111">
        <v>17840</v>
      </c>
      <c r="H38" s="110">
        <v>132</v>
      </c>
      <c r="I38" s="109">
        <v>26880</v>
      </c>
      <c r="J38" s="108">
        <f t="shared" si="0"/>
        <v>694</v>
      </c>
      <c r="K38" s="107">
        <f t="shared" si="0"/>
        <v>135630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1224</v>
      </c>
      <c r="E39" s="116">
        <f>'５月'!K39</f>
        <v>1346400</v>
      </c>
      <c r="F39" s="112">
        <v>400</v>
      </c>
      <c r="G39" s="111">
        <v>440000</v>
      </c>
      <c r="H39" s="110">
        <v>300</v>
      </c>
      <c r="I39" s="109">
        <v>330000</v>
      </c>
      <c r="J39" s="108">
        <f t="shared" si="0"/>
        <v>1324</v>
      </c>
      <c r="K39" s="107">
        <f t="shared" si="0"/>
        <v>1456400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16163</v>
      </c>
      <c r="E42" s="116">
        <f>'５月'!K42</f>
        <v>4828152</v>
      </c>
      <c r="F42" s="112">
        <v>16469</v>
      </c>
      <c r="G42" s="111">
        <v>4542559</v>
      </c>
      <c r="H42" s="110">
        <v>20226</v>
      </c>
      <c r="I42" s="109">
        <v>5486352</v>
      </c>
      <c r="J42" s="108">
        <f t="shared" si="0"/>
        <v>12406</v>
      </c>
      <c r="K42" s="107">
        <f t="shared" si="0"/>
        <v>3884359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4797</v>
      </c>
      <c r="E43" s="116">
        <f>'５月'!K43</f>
        <v>1406941</v>
      </c>
      <c r="F43" s="112">
        <v>8254</v>
      </c>
      <c r="G43" s="111">
        <v>2395872</v>
      </c>
      <c r="H43" s="110">
        <v>8322</v>
      </c>
      <c r="I43" s="109">
        <v>2367052</v>
      </c>
      <c r="J43" s="108">
        <f t="shared" si="0"/>
        <v>4729</v>
      </c>
      <c r="K43" s="107">
        <f t="shared" si="0"/>
        <v>1435761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54</v>
      </c>
      <c r="E44" s="116">
        <f>'５月'!K44</f>
        <v>79230</v>
      </c>
      <c r="F44" s="112">
        <v>3</v>
      </c>
      <c r="G44" s="111">
        <v>3031</v>
      </c>
      <c r="H44" s="110">
        <v>4</v>
      </c>
      <c r="I44" s="109">
        <v>4501</v>
      </c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8354</v>
      </c>
      <c r="E45" s="116">
        <f>'５月'!K45</f>
        <v>3731793</v>
      </c>
      <c r="F45" s="112">
        <v>3801</v>
      </c>
      <c r="G45" s="111">
        <v>457364</v>
      </c>
      <c r="H45" s="110">
        <v>3105</v>
      </c>
      <c r="I45" s="109">
        <v>538103</v>
      </c>
      <c r="J45" s="108">
        <f t="shared" si="0"/>
        <v>9050</v>
      </c>
      <c r="K45" s="107">
        <f t="shared" si="0"/>
        <v>3651054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7708</v>
      </c>
      <c r="E46" s="116">
        <f>'５月'!K46</f>
        <v>1634866</v>
      </c>
      <c r="F46" s="105">
        <v>3150</v>
      </c>
      <c r="G46" s="104">
        <v>644475</v>
      </c>
      <c r="H46" s="103">
        <v>2919</v>
      </c>
      <c r="I46" s="102">
        <v>594992</v>
      </c>
      <c r="J46" s="101">
        <f t="shared" si="0"/>
        <v>7939</v>
      </c>
      <c r="K46" s="100">
        <f t="shared" si="0"/>
        <v>1684349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6298</v>
      </c>
      <c r="E47" s="116">
        <f>'５月'!K47</f>
        <v>1898251</v>
      </c>
      <c r="F47" s="105">
        <v>2316</v>
      </c>
      <c r="G47" s="104">
        <v>966780</v>
      </c>
      <c r="H47" s="103">
        <v>2096</v>
      </c>
      <c r="I47" s="102">
        <v>780948</v>
      </c>
      <c r="J47" s="101">
        <f t="shared" si="0"/>
        <v>6518</v>
      </c>
      <c r="K47" s="100">
        <f t="shared" si="0"/>
        <v>2084083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5499</v>
      </c>
      <c r="E49" s="116">
        <f>'５月'!K49</f>
        <v>2066037</v>
      </c>
      <c r="F49" s="98">
        <v>5315</v>
      </c>
      <c r="G49" s="97">
        <v>1237387</v>
      </c>
      <c r="H49" s="96">
        <v>5643</v>
      </c>
      <c r="I49" s="95">
        <v>1313156</v>
      </c>
      <c r="J49" s="94">
        <f t="shared" si="0"/>
        <v>5171</v>
      </c>
      <c r="K49" s="93">
        <f t="shared" si="0"/>
        <v>1990268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263097</v>
      </c>
      <c r="E50" s="90">
        <f t="shared" si="1"/>
        <v>67687182</v>
      </c>
      <c r="F50" s="89">
        <f t="shared" si="1"/>
        <v>110628</v>
      </c>
      <c r="G50" s="87">
        <f t="shared" si="1"/>
        <v>32476578</v>
      </c>
      <c r="H50" s="89">
        <f t="shared" si="1"/>
        <v>114316</v>
      </c>
      <c r="I50" s="87">
        <f t="shared" si="1"/>
        <v>33484798</v>
      </c>
      <c r="J50" s="88">
        <f t="shared" si="0"/>
        <v>259409</v>
      </c>
      <c r="K50" s="87">
        <f t="shared" si="0"/>
        <v>66678962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17049</v>
      </c>
      <c r="E10" s="116">
        <f>'６月'!K10</f>
        <v>3880342</v>
      </c>
      <c r="F10" s="119">
        <v>3315</v>
      </c>
      <c r="G10" s="118">
        <v>130177</v>
      </c>
      <c r="H10" s="117">
        <v>4730</v>
      </c>
      <c r="I10" s="116">
        <v>796139</v>
      </c>
      <c r="J10" s="115">
        <f aca="true" t="shared" si="0" ref="J10:K50">D10+F10-H10</f>
        <v>15634</v>
      </c>
      <c r="K10" s="114">
        <f t="shared" si="0"/>
        <v>3214380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1494</v>
      </c>
      <c r="E11" s="116">
        <f>'６月'!K11</f>
        <v>181080</v>
      </c>
      <c r="F11" s="105">
        <v>50</v>
      </c>
      <c r="G11" s="104">
        <v>7500</v>
      </c>
      <c r="H11" s="103">
        <v>180</v>
      </c>
      <c r="I11" s="102">
        <v>27000</v>
      </c>
      <c r="J11" s="101">
        <f t="shared" si="0"/>
        <v>1364</v>
      </c>
      <c r="K11" s="100">
        <f t="shared" si="0"/>
        <v>161580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171</v>
      </c>
      <c r="E12" s="116">
        <f>'６月'!K12</f>
        <v>22465</v>
      </c>
      <c r="F12" s="105">
        <v>13</v>
      </c>
      <c r="G12" s="104">
        <v>1729</v>
      </c>
      <c r="H12" s="103">
        <v>4</v>
      </c>
      <c r="I12" s="102">
        <v>516</v>
      </c>
      <c r="J12" s="101">
        <f t="shared" si="0"/>
        <v>180</v>
      </c>
      <c r="K12" s="100">
        <f t="shared" si="0"/>
        <v>23678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6587</v>
      </c>
      <c r="E13" s="116">
        <f>'６月'!K13</f>
        <v>1579491</v>
      </c>
      <c r="F13" s="105">
        <v>888</v>
      </c>
      <c r="G13" s="104">
        <v>243067</v>
      </c>
      <c r="H13" s="103">
        <v>549</v>
      </c>
      <c r="I13" s="102">
        <v>145412</v>
      </c>
      <c r="J13" s="101">
        <f t="shared" si="0"/>
        <v>6926</v>
      </c>
      <c r="K13" s="100">
        <f t="shared" si="0"/>
        <v>1677146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2249</v>
      </c>
      <c r="E17" s="116">
        <f>'６月'!K17</f>
        <v>7033787</v>
      </c>
      <c r="F17" s="105">
        <v>1528</v>
      </c>
      <c r="G17" s="104">
        <v>4665151</v>
      </c>
      <c r="H17" s="103">
        <v>1501</v>
      </c>
      <c r="I17" s="102">
        <v>4545794</v>
      </c>
      <c r="J17" s="101">
        <f t="shared" si="0"/>
        <v>2276</v>
      </c>
      <c r="K17" s="100">
        <f t="shared" si="0"/>
        <v>7153144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109</v>
      </c>
      <c r="E18" s="116">
        <f>'６月'!K18</f>
        <v>17700</v>
      </c>
      <c r="F18" s="105">
        <v>142</v>
      </c>
      <c r="G18" s="104">
        <v>19070</v>
      </c>
      <c r="H18" s="103">
        <v>109</v>
      </c>
      <c r="I18" s="102">
        <v>14199</v>
      </c>
      <c r="J18" s="101">
        <f t="shared" si="0"/>
        <v>142</v>
      </c>
      <c r="K18" s="100">
        <f t="shared" si="0"/>
        <v>22571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0</v>
      </c>
      <c r="E20" s="116">
        <f>'６月'!K20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7182</v>
      </c>
      <c r="E22" s="116">
        <f>'６月'!K22</f>
        <v>926107</v>
      </c>
      <c r="F22" s="105">
        <v>1537</v>
      </c>
      <c r="G22" s="104">
        <v>246470</v>
      </c>
      <c r="H22" s="103">
        <v>2009</v>
      </c>
      <c r="I22" s="102">
        <v>272250</v>
      </c>
      <c r="J22" s="101">
        <f t="shared" si="0"/>
        <v>6710</v>
      </c>
      <c r="K22" s="100">
        <f t="shared" si="0"/>
        <v>900327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2044</v>
      </c>
      <c r="E23" s="116">
        <f>'６月'!K23</f>
        <v>1369443</v>
      </c>
      <c r="F23" s="112">
        <v>979</v>
      </c>
      <c r="G23" s="111">
        <v>960350</v>
      </c>
      <c r="H23" s="110">
        <v>925</v>
      </c>
      <c r="I23" s="109">
        <v>679133</v>
      </c>
      <c r="J23" s="108">
        <f t="shared" si="0"/>
        <v>2098</v>
      </c>
      <c r="K23" s="107">
        <f t="shared" si="0"/>
        <v>1650660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25529</v>
      </c>
      <c r="E24" s="116">
        <f>'６月'!K24</f>
        <v>3188133</v>
      </c>
      <c r="F24" s="105">
        <v>1236</v>
      </c>
      <c r="G24" s="104">
        <v>889069</v>
      </c>
      <c r="H24" s="103">
        <v>1176</v>
      </c>
      <c r="I24" s="102">
        <v>884333</v>
      </c>
      <c r="J24" s="101">
        <f t="shared" si="0"/>
        <v>25589</v>
      </c>
      <c r="K24" s="100">
        <f t="shared" si="0"/>
        <v>3192869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10552</v>
      </c>
      <c r="E25" s="116">
        <f>'６月'!K25</f>
        <v>4230500</v>
      </c>
      <c r="F25" s="105">
        <f>7030+68</f>
        <v>7098</v>
      </c>
      <c r="G25" s="104">
        <f>1892000+276404</f>
        <v>2168404</v>
      </c>
      <c r="H25" s="103">
        <f>6480+25</f>
        <v>6505</v>
      </c>
      <c r="I25" s="102">
        <f>1540316+96971</f>
        <v>1637287</v>
      </c>
      <c r="J25" s="101">
        <f t="shared" si="0"/>
        <v>11145</v>
      </c>
      <c r="K25" s="100">
        <f t="shared" si="0"/>
        <v>4761617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19535</v>
      </c>
      <c r="E26" s="116">
        <f>'６月'!K26</f>
        <v>8488808</v>
      </c>
      <c r="F26" s="105">
        <v>6950</v>
      </c>
      <c r="G26" s="104">
        <v>1432660</v>
      </c>
      <c r="H26" s="103">
        <v>6811</v>
      </c>
      <c r="I26" s="102">
        <v>1414240</v>
      </c>
      <c r="J26" s="101">
        <f t="shared" si="0"/>
        <v>19674</v>
      </c>
      <c r="K26" s="100">
        <f t="shared" si="0"/>
        <v>8507228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2479</v>
      </c>
      <c r="E27" s="116">
        <f>'６月'!K27</f>
        <v>397200</v>
      </c>
      <c r="F27" s="105">
        <v>606</v>
      </c>
      <c r="G27" s="104">
        <v>109500</v>
      </c>
      <c r="H27" s="103">
        <v>472</v>
      </c>
      <c r="I27" s="102">
        <v>99000</v>
      </c>
      <c r="J27" s="101">
        <f t="shared" si="0"/>
        <v>2613</v>
      </c>
      <c r="K27" s="100">
        <f t="shared" si="0"/>
        <v>407700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450</v>
      </c>
      <c r="E28" s="116">
        <f>'６月'!K28</f>
        <v>49500</v>
      </c>
      <c r="F28" s="105">
        <v>1000</v>
      </c>
      <c r="G28" s="104">
        <v>110000</v>
      </c>
      <c r="H28" s="103">
        <v>850</v>
      </c>
      <c r="I28" s="102">
        <v>93500</v>
      </c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1179</v>
      </c>
      <c r="E29" s="116">
        <f>'６月'!K29</f>
        <v>413072</v>
      </c>
      <c r="F29" s="74">
        <f>55+58</f>
        <v>113</v>
      </c>
      <c r="G29" s="111">
        <f>11000+111070</f>
        <v>122070</v>
      </c>
      <c r="H29" s="110">
        <f>40+60</f>
        <v>100</v>
      </c>
      <c r="I29" s="109">
        <f>8000+114900</f>
        <v>122900</v>
      </c>
      <c r="J29" s="108">
        <f t="shared" si="0"/>
        <v>1192</v>
      </c>
      <c r="K29" s="107">
        <f t="shared" si="0"/>
        <v>412242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1834</v>
      </c>
      <c r="E30" s="116">
        <f>'６月'!K30</f>
        <v>1033460</v>
      </c>
      <c r="F30" s="112">
        <f>461+472</f>
        <v>933</v>
      </c>
      <c r="G30" s="111">
        <f>210081+80357</f>
        <v>290438</v>
      </c>
      <c r="H30" s="110">
        <f>459+333</f>
        <v>792</v>
      </c>
      <c r="I30" s="109">
        <f>264525+103394</f>
        <v>367919</v>
      </c>
      <c r="J30" s="108">
        <f t="shared" si="0"/>
        <v>1975</v>
      </c>
      <c r="K30" s="107">
        <f t="shared" si="0"/>
        <v>955979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0</v>
      </c>
      <c r="E32" s="116">
        <f>'６月'!K32</f>
        <v>0</v>
      </c>
      <c r="F32" s="112">
        <v>7</v>
      </c>
      <c r="G32" s="111">
        <v>6185</v>
      </c>
      <c r="H32" s="110">
        <v>7</v>
      </c>
      <c r="I32" s="109">
        <v>6185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26364</v>
      </c>
      <c r="E33" s="116">
        <f>'６月'!K33</f>
        <v>8747459</v>
      </c>
      <c r="F33" s="112">
        <v>20917</v>
      </c>
      <c r="G33" s="111">
        <v>6243287</v>
      </c>
      <c r="H33" s="72">
        <v>20607</v>
      </c>
      <c r="I33" s="109">
        <v>6495911</v>
      </c>
      <c r="J33" s="108">
        <f t="shared" si="0"/>
        <v>26674</v>
      </c>
      <c r="K33" s="107">
        <f t="shared" si="0"/>
        <v>8494835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85112</v>
      </c>
      <c r="E34" s="116">
        <f>'６月'!K34</f>
        <v>7941615</v>
      </c>
      <c r="F34" s="112">
        <f>32690+146</f>
        <v>32836</v>
      </c>
      <c r="G34" s="111">
        <f>5878047+330800</f>
        <v>6208847</v>
      </c>
      <c r="H34" s="110">
        <f>31915+162</f>
        <v>32077</v>
      </c>
      <c r="I34" s="109">
        <f>5743945+365255</f>
        <v>6109200</v>
      </c>
      <c r="J34" s="108">
        <f t="shared" si="0"/>
        <v>85871</v>
      </c>
      <c r="K34" s="107">
        <f t="shared" si="0"/>
        <v>8041262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1376</v>
      </c>
      <c r="E35" s="116">
        <f>'６月'!K35</f>
        <v>123374</v>
      </c>
      <c r="F35" s="112">
        <v>1056</v>
      </c>
      <c r="G35" s="111">
        <v>73888</v>
      </c>
      <c r="H35" s="110">
        <v>1053</v>
      </c>
      <c r="I35" s="109">
        <v>84541</v>
      </c>
      <c r="J35" s="108">
        <f t="shared" si="0"/>
        <v>1379</v>
      </c>
      <c r="K35" s="107">
        <f t="shared" si="0"/>
        <v>112721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230</v>
      </c>
      <c r="E36" s="116">
        <f>'６月'!K36</f>
        <v>655762</v>
      </c>
      <c r="F36" s="112">
        <v>142</v>
      </c>
      <c r="G36" s="111">
        <v>739100</v>
      </c>
      <c r="H36" s="110">
        <v>145</v>
      </c>
      <c r="I36" s="109">
        <v>556211</v>
      </c>
      <c r="J36" s="108">
        <f t="shared" si="0"/>
        <v>227</v>
      </c>
      <c r="K36" s="107">
        <f t="shared" si="0"/>
        <v>838651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694</v>
      </c>
      <c r="E38" s="116">
        <f>'６月'!K38</f>
        <v>135630</v>
      </c>
      <c r="F38" s="112">
        <v>20</v>
      </c>
      <c r="G38" s="111">
        <v>16000</v>
      </c>
      <c r="H38" s="110">
        <v>115</v>
      </c>
      <c r="I38" s="109">
        <v>23000</v>
      </c>
      <c r="J38" s="108">
        <f t="shared" si="0"/>
        <v>599</v>
      </c>
      <c r="K38" s="107">
        <f t="shared" si="0"/>
        <v>128630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1324</v>
      </c>
      <c r="E39" s="116">
        <f>'６月'!K39</f>
        <v>1456400</v>
      </c>
      <c r="F39" s="112">
        <v>200</v>
      </c>
      <c r="G39" s="111">
        <v>220000</v>
      </c>
      <c r="H39" s="110">
        <v>180</v>
      </c>
      <c r="I39" s="109">
        <v>198000</v>
      </c>
      <c r="J39" s="108">
        <f t="shared" si="0"/>
        <v>1344</v>
      </c>
      <c r="K39" s="107">
        <f t="shared" si="0"/>
        <v>1478400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12406</v>
      </c>
      <c r="E42" s="116">
        <f>'６月'!K42</f>
        <v>3884359</v>
      </c>
      <c r="F42" s="112">
        <v>12297</v>
      </c>
      <c r="G42" s="111">
        <v>3281062</v>
      </c>
      <c r="H42" s="110">
        <v>15966</v>
      </c>
      <c r="I42" s="109">
        <v>4516464</v>
      </c>
      <c r="J42" s="108">
        <f t="shared" si="0"/>
        <v>8737</v>
      </c>
      <c r="K42" s="107">
        <f t="shared" si="0"/>
        <v>2648957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4729</v>
      </c>
      <c r="E43" s="116">
        <f>'６月'!K43</f>
        <v>1435761</v>
      </c>
      <c r="F43" s="112">
        <v>10629</v>
      </c>
      <c r="G43" s="111">
        <v>3221272</v>
      </c>
      <c r="H43" s="110">
        <v>9500</v>
      </c>
      <c r="I43" s="109">
        <v>2746687</v>
      </c>
      <c r="J43" s="108">
        <f t="shared" si="0"/>
        <v>5858</v>
      </c>
      <c r="K43" s="107">
        <f t="shared" si="0"/>
        <v>1910346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53</v>
      </c>
      <c r="E44" s="116">
        <f>'６月'!K44</f>
        <v>77760</v>
      </c>
      <c r="F44" s="112">
        <v>5</v>
      </c>
      <c r="G44" s="111">
        <v>6120</v>
      </c>
      <c r="H44" s="110">
        <v>7</v>
      </c>
      <c r="I44" s="109">
        <v>9030</v>
      </c>
      <c r="J44" s="108">
        <f t="shared" si="0"/>
        <v>51</v>
      </c>
      <c r="K44" s="107">
        <f t="shared" si="0"/>
        <v>74850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9050</v>
      </c>
      <c r="E45" s="116">
        <f>'６月'!K45</f>
        <v>3651054</v>
      </c>
      <c r="F45" s="112">
        <v>3383</v>
      </c>
      <c r="G45" s="111">
        <v>347073</v>
      </c>
      <c r="H45" s="110">
        <v>2912</v>
      </c>
      <c r="I45" s="109">
        <v>650757</v>
      </c>
      <c r="J45" s="108">
        <f t="shared" si="0"/>
        <v>9521</v>
      </c>
      <c r="K45" s="107">
        <f t="shared" si="0"/>
        <v>3347370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7939</v>
      </c>
      <c r="E46" s="116">
        <f>'６月'!K46</f>
        <v>1684349</v>
      </c>
      <c r="F46" s="105">
        <v>3393</v>
      </c>
      <c r="G46" s="104">
        <v>610478</v>
      </c>
      <c r="H46" s="103">
        <v>3859</v>
      </c>
      <c r="I46" s="102">
        <v>712117</v>
      </c>
      <c r="J46" s="101">
        <f t="shared" si="0"/>
        <v>7473</v>
      </c>
      <c r="K46" s="100">
        <f t="shared" si="0"/>
        <v>1582710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6518</v>
      </c>
      <c r="E47" s="116">
        <f>'６月'!K47</f>
        <v>2084083</v>
      </c>
      <c r="F47" s="105">
        <v>2696</v>
      </c>
      <c r="G47" s="104">
        <v>1378892</v>
      </c>
      <c r="H47" s="103">
        <v>2474</v>
      </c>
      <c r="I47" s="102">
        <v>907515</v>
      </c>
      <c r="J47" s="101">
        <f t="shared" si="0"/>
        <v>6740</v>
      </c>
      <c r="K47" s="100">
        <f t="shared" si="0"/>
        <v>2555460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5171</v>
      </c>
      <c r="E49" s="116">
        <f>'６月'!K49</f>
        <v>1990268</v>
      </c>
      <c r="F49" s="98">
        <v>6704</v>
      </c>
      <c r="G49" s="97">
        <v>1648904</v>
      </c>
      <c r="H49" s="96">
        <v>5645</v>
      </c>
      <c r="I49" s="95">
        <v>1426744</v>
      </c>
      <c r="J49" s="94">
        <f t="shared" si="0"/>
        <v>6230</v>
      </c>
      <c r="K49" s="93">
        <f t="shared" si="0"/>
        <v>2212428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259409</v>
      </c>
      <c r="E50" s="90">
        <f t="shared" si="1"/>
        <v>66678962</v>
      </c>
      <c r="F50" s="89">
        <f t="shared" si="1"/>
        <v>120673</v>
      </c>
      <c r="G50" s="87">
        <f t="shared" si="1"/>
        <v>35396763</v>
      </c>
      <c r="H50" s="89">
        <f t="shared" si="1"/>
        <v>121260</v>
      </c>
      <c r="I50" s="87">
        <f t="shared" si="1"/>
        <v>35541984</v>
      </c>
      <c r="J50" s="88">
        <f t="shared" si="0"/>
        <v>258822</v>
      </c>
      <c r="K50" s="87">
        <f t="shared" si="0"/>
        <v>66533741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47" sqref="G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15634</v>
      </c>
      <c r="E10" s="116">
        <f>'７月'!K10</f>
        <v>3214380</v>
      </c>
      <c r="F10" s="119">
        <v>1444</v>
      </c>
      <c r="G10" s="118">
        <v>120909</v>
      </c>
      <c r="H10" s="117">
        <v>3739</v>
      </c>
      <c r="I10" s="116">
        <v>846694</v>
      </c>
      <c r="J10" s="115">
        <f aca="true" t="shared" si="0" ref="J10:K50">D10+F10-H10</f>
        <v>13339</v>
      </c>
      <c r="K10" s="114">
        <f t="shared" si="0"/>
        <v>2488595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1364</v>
      </c>
      <c r="E11" s="116">
        <f>'７月'!K11</f>
        <v>161580</v>
      </c>
      <c r="F11" s="105">
        <v>85</v>
      </c>
      <c r="G11" s="104">
        <v>12750</v>
      </c>
      <c r="H11" s="103">
        <v>310</v>
      </c>
      <c r="I11" s="102">
        <v>46500</v>
      </c>
      <c r="J11" s="101">
        <f t="shared" si="0"/>
        <v>1139</v>
      </c>
      <c r="K11" s="100">
        <f t="shared" si="0"/>
        <v>127830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180</v>
      </c>
      <c r="E12" s="116">
        <f>'７月'!K12</f>
        <v>23678</v>
      </c>
      <c r="F12" s="105">
        <v>28</v>
      </c>
      <c r="G12" s="104">
        <v>3711</v>
      </c>
      <c r="H12" s="103">
        <v>2</v>
      </c>
      <c r="I12" s="102">
        <v>300</v>
      </c>
      <c r="J12" s="101">
        <f t="shared" si="0"/>
        <v>206</v>
      </c>
      <c r="K12" s="100">
        <f t="shared" si="0"/>
        <v>27089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6926</v>
      </c>
      <c r="E13" s="116">
        <f>'７月'!K13</f>
        <v>1677146</v>
      </c>
      <c r="F13" s="105">
        <v>626</v>
      </c>
      <c r="G13" s="104">
        <v>180600</v>
      </c>
      <c r="H13" s="103">
        <v>579</v>
      </c>
      <c r="I13" s="102">
        <v>150365</v>
      </c>
      <c r="J13" s="101">
        <f t="shared" si="0"/>
        <v>6973</v>
      </c>
      <c r="K13" s="100">
        <f t="shared" si="0"/>
        <v>1707381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2276</v>
      </c>
      <c r="E17" s="116">
        <f>'７月'!K17</f>
        <v>7153144</v>
      </c>
      <c r="F17" s="105">
        <v>799</v>
      </c>
      <c r="G17" s="104">
        <v>2464356</v>
      </c>
      <c r="H17" s="103">
        <v>1536</v>
      </c>
      <c r="I17" s="102">
        <v>4660166</v>
      </c>
      <c r="J17" s="101">
        <f t="shared" si="0"/>
        <v>1539</v>
      </c>
      <c r="K17" s="100">
        <f t="shared" si="0"/>
        <v>4957334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142</v>
      </c>
      <c r="E18" s="116">
        <f>'７月'!K18</f>
        <v>22571</v>
      </c>
      <c r="F18" s="105">
        <v>118</v>
      </c>
      <c r="G18" s="104">
        <v>16319</v>
      </c>
      <c r="H18" s="103">
        <v>130</v>
      </c>
      <c r="I18" s="102">
        <v>19186</v>
      </c>
      <c r="J18" s="101">
        <f t="shared" si="0"/>
        <v>130</v>
      </c>
      <c r="K18" s="100">
        <f t="shared" si="0"/>
        <v>19704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0</v>
      </c>
      <c r="E20" s="116">
        <f>'７月'!K20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6710</v>
      </c>
      <c r="E22" s="116">
        <f>'７月'!K22</f>
        <v>900327</v>
      </c>
      <c r="F22" s="105">
        <v>2385</v>
      </c>
      <c r="G22" s="104">
        <v>304540</v>
      </c>
      <c r="H22" s="103">
        <v>1789</v>
      </c>
      <c r="I22" s="102">
        <v>241940</v>
      </c>
      <c r="J22" s="101">
        <f t="shared" si="0"/>
        <v>7306</v>
      </c>
      <c r="K22" s="100">
        <f t="shared" si="0"/>
        <v>962927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2098</v>
      </c>
      <c r="E23" s="116">
        <f>'７月'!K23</f>
        <v>1650660</v>
      </c>
      <c r="F23" s="112">
        <v>937</v>
      </c>
      <c r="G23" s="111">
        <v>1017200</v>
      </c>
      <c r="H23" s="110">
        <v>838</v>
      </c>
      <c r="I23" s="109">
        <v>660436</v>
      </c>
      <c r="J23" s="108">
        <f t="shared" si="0"/>
        <v>2197</v>
      </c>
      <c r="K23" s="107">
        <f t="shared" si="0"/>
        <v>2007424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25589</v>
      </c>
      <c r="E24" s="116">
        <f>'７月'!K24</f>
        <v>3192869</v>
      </c>
      <c r="F24" s="105">
        <v>1269</v>
      </c>
      <c r="G24" s="104">
        <v>835346</v>
      </c>
      <c r="H24" s="103">
        <v>1291</v>
      </c>
      <c r="I24" s="102">
        <v>812249</v>
      </c>
      <c r="J24" s="101">
        <f t="shared" si="0"/>
        <v>25567</v>
      </c>
      <c r="K24" s="100">
        <f t="shared" si="0"/>
        <v>3215966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11145</v>
      </c>
      <c r="E25" s="116">
        <f>'７月'!K25</f>
        <v>4761617</v>
      </c>
      <c r="F25" s="105">
        <f>48+5673</f>
        <v>5721</v>
      </c>
      <c r="G25" s="104">
        <f>129600+1467012</f>
        <v>1596612</v>
      </c>
      <c r="H25" s="103">
        <f>38+7151</f>
        <v>7189</v>
      </c>
      <c r="I25" s="102">
        <f>106990+1910689</f>
        <v>2017679</v>
      </c>
      <c r="J25" s="101">
        <f t="shared" si="0"/>
        <v>9677</v>
      </c>
      <c r="K25" s="100">
        <f t="shared" si="0"/>
        <v>4340550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19674</v>
      </c>
      <c r="E26" s="116">
        <f>'７月'!K26</f>
        <v>8507228</v>
      </c>
      <c r="F26" s="105">
        <v>6176</v>
      </c>
      <c r="G26" s="104">
        <v>1104657</v>
      </c>
      <c r="H26" s="103">
        <v>6590</v>
      </c>
      <c r="I26" s="102">
        <v>1295794</v>
      </c>
      <c r="J26" s="101">
        <f t="shared" si="0"/>
        <v>19260</v>
      </c>
      <c r="K26" s="100">
        <f t="shared" si="0"/>
        <v>8316091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2613</v>
      </c>
      <c r="E27" s="116">
        <f>'７月'!K27</f>
        <v>407700</v>
      </c>
      <c r="F27" s="105">
        <v>674</v>
      </c>
      <c r="G27" s="104">
        <v>118700</v>
      </c>
      <c r="H27" s="103">
        <v>613</v>
      </c>
      <c r="I27" s="102">
        <v>116450</v>
      </c>
      <c r="J27" s="101">
        <f t="shared" si="0"/>
        <v>2674</v>
      </c>
      <c r="K27" s="100">
        <f t="shared" si="0"/>
        <v>409950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600</v>
      </c>
      <c r="E28" s="116">
        <f>'７月'!K28</f>
        <v>66000</v>
      </c>
      <c r="F28" s="105">
        <v>1050</v>
      </c>
      <c r="G28" s="104">
        <v>115500</v>
      </c>
      <c r="H28" s="103">
        <v>1200</v>
      </c>
      <c r="I28" s="102">
        <v>132000</v>
      </c>
      <c r="J28" s="101">
        <f t="shared" si="0"/>
        <v>450</v>
      </c>
      <c r="K28" s="100">
        <f t="shared" si="0"/>
        <v>49500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1192</v>
      </c>
      <c r="E29" s="116">
        <f>'７月'!K29</f>
        <v>412242</v>
      </c>
      <c r="F29" s="74">
        <f>78+45</f>
        <v>123</v>
      </c>
      <c r="G29" s="111">
        <f>115244+9000</f>
        <v>124244</v>
      </c>
      <c r="H29" s="110">
        <f>92+42</f>
        <v>134</v>
      </c>
      <c r="I29" s="109">
        <f>118690+8400</f>
        <v>127090</v>
      </c>
      <c r="J29" s="108">
        <f t="shared" si="0"/>
        <v>1181</v>
      </c>
      <c r="K29" s="107">
        <f t="shared" si="0"/>
        <v>409396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1975</v>
      </c>
      <c r="E30" s="116">
        <f>'７月'!K30</f>
        <v>955979</v>
      </c>
      <c r="F30" s="112">
        <f>176+182</f>
        <v>358</v>
      </c>
      <c r="G30" s="111">
        <f>83443+98277</f>
        <v>181720</v>
      </c>
      <c r="H30" s="110">
        <f>340+366</f>
        <v>706</v>
      </c>
      <c r="I30" s="109">
        <f>65694+205275</f>
        <v>270969</v>
      </c>
      <c r="J30" s="108">
        <f t="shared" si="0"/>
        <v>1627</v>
      </c>
      <c r="K30" s="107">
        <f t="shared" si="0"/>
        <v>866730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0</v>
      </c>
      <c r="E32" s="116">
        <f>'７月'!K32</f>
        <v>0</v>
      </c>
      <c r="F32" s="112">
        <v>7</v>
      </c>
      <c r="G32" s="111">
        <v>6401</v>
      </c>
      <c r="H32" s="110">
        <v>7</v>
      </c>
      <c r="I32" s="109">
        <v>6401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26674</v>
      </c>
      <c r="E33" s="116">
        <f>'７月'!K33</f>
        <v>8494835</v>
      </c>
      <c r="F33" s="112">
        <v>20364</v>
      </c>
      <c r="G33" s="111">
        <v>6732129</v>
      </c>
      <c r="H33" s="72">
        <v>18653</v>
      </c>
      <c r="I33" s="109">
        <v>5796046</v>
      </c>
      <c r="J33" s="108">
        <f t="shared" si="0"/>
        <v>28385</v>
      </c>
      <c r="K33" s="107">
        <f t="shared" si="0"/>
        <v>9430918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85871</v>
      </c>
      <c r="E34" s="116">
        <f>'７月'!K34</f>
        <v>8041262</v>
      </c>
      <c r="F34" s="112">
        <f>158+27389</f>
        <v>27547</v>
      </c>
      <c r="G34" s="111">
        <f>364800+5057166</f>
        <v>5421966</v>
      </c>
      <c r="H34" s="110">
        <f>144+28415</f>
        <v>28559</v>
      </c>
      <c r="I34" s="109">
        <f>354107+4936986</f>
        <v>5291093</v>
      </c>
      <c r="J34" s="108">
        <f t="shared" si="0"/>
        <v>84859</v>
      </c>
      <c r="K34" s="107">
        <f t="shared" si="0"/>
        <v>8172135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1379</v>
      </c>
      <c r="E35" s="116">
        <f>'７月'!K35</f>
        <v>112721</v>
      </c>
      <c r="F35" s="112">
        <v>997</v>
      </c>
      <c r="G35" s="111">
        <v>88780</v>
      </c>
      <c r="H35" s="110">
        <v>1096</v>
      </c>
      <c r="I35" s="109">
        <v>97272</v>
      </c>
      <c r="J35" s="108">
        <f t="shared" si="0"/>
        <v>1280</v>
      </c>
      <c r="K35" s="107">
        <f t="shared" si="0"/>
        <v>104229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227</v>
      </c>
      <c r="E36" s="116">
        <f>'７月'!K36</f>
        <v>838651</v>
      </c>
      <c r="F36" s="112">
        <v>193</v>
      </c>
      <c r="G36" s="111">
        <v>39200</v>
      </c>
      <c r="H36" s="110">
        <v>172</v>
      </c>
      <c r="I36" s="109">
        <v>34801</v>
      </c>
      <c r="J36" s="108">
        <f t="shared" si="0"/>
        <v>248</v>
      </c>
      <c r="K36" s="107">
        <f t="shared" si="0"/>
        <v>843050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599</v>
      </c>
      <c r="E38" s="116">
        <f>'７月'!K38</f>
        <v>128630</v>
      </c>
      <c r="F38" s="112">
        <v>180</v>
      </c>
      <c r="G38" s="111">
        <v>36000</v>
      </c>
      <c r="H38" s="110">
        <v>187</v>
      </c>
      <c r="I38" s="109">
        <v>37800</v>
      </c>
      <c r="J38" s="108">
        <f t="shared" si="0"/>
        <v>592</v>
      </c>
      <c r="K38" s="107">
        <f t="shared" si="0"/>
        <v>126830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1344</v>
      </c>
      <c r="E39" s="116">
        <f>'７月'!K39</f>
        <v>1478400</v>
      </c>
      <c r="F39" s="112">
        <v>240</v>
      </c>
      <c r="G39" s="111">
        <v>264000</v>
      </c>
      <c r="H39" s="110">
        <v>200</v>
      </c>
      <c r="I39" s="109">
        <v>220000</v>
      </c>
      <c r="J39" s="108">
        <f t="shared" si="0"/>
        <v>1384</v>
      </c>
      <c r="K39" s="107">
        <f t="shared" si="0"/>
        <v>1522400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8737</v>
      </c>
      <c r="E42" s="116">
        <f>'７月'!K42</f>
        <v>2648957</v>
      </c>
      <c r="F42" s="112">
        <v>12424</v>
      </c>
      <c r="G42" s="111">
        <v>3185280</v>
      </c>
      <c r="H42" s="110">
        <v>14535</v>
      </c>
      <c r="I42" s="109">
        <v>3425726</v>
      </c>
      <c r="J42" s="108">
        <f t="shared" si="0"/>
        <v>6626</v>
      </c>
      <c r="K42" s="107">
        <f t="shared" si="0"/>
        <v>2408511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5858</v>
      </c>
      <c r="E43" s="116">
        <f>'７月'!K43</f>
        <v>1910346</v>
      </c>
      <c r="F43" s="112">
        <v>10099</v>
      </c>
      <c r="G43" s="111">
        <v>3230987</v>
      </c>
      <c r="H43" s="110">
        <v>9500</v>
      </c>
      <c r="I43" s="109">
        <v>3030239</v>
      </c>
      <c r="J43" s="108">
        <f t="shared" si="0"/>
        <v>6457</v>
      </c>
      <c r="K43" s="107">
        <f t="shared" si="0"/>
        <v>2111094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51</v>
      </c>
      <c r="E44" s="116">
        <f>'７月'!K44</f>
        <v>74850</v>
      </c>
      <c r="F44" s="112">
        <v>4</v>
      </c>
      <c r="G44" s="111">
        <v>6000</v>
      </c>
      <c r="H44" s="110">
        <v>6</v>
      </c>
      <c r="I44" s="109">
        <v>9000</v>
      </c>
      <c r="J44" s="108">
        <f t="shared" si="0"/>
        <v>49</v>
      </c>
      <c r="K44" s="107">
        <f t="shared" si="0"/>
        <v>71850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9521</v>
      </c>
      <c r="E45" s="116">
        <f>'７月'!K45</f>
        <v>3347370</v>
      </c>
      <c r="F45" s="112">
        <v>3677</v>
      </c>
      <c r="G45" s="111">
        <v>809654</v>
      </c>
      <c r="H45" s="110">
        <v>2781</v>
      </c>
      <c r="I45" s="109">
        <v>368674</v>
      </c>
      <c r="J45" s="108">
        <f t="shared" si="0"/>
        <v>10417</v>
      </c>
      <c r="K45" s="107">
        <f t="shared" si="0"/>
        <v>3788350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7473</v>
      </c>
      <c r="E46" s="116">
        <f>'７月'!K46</f>
        <v>1582710</v>
      </c>
      <c r="F46" s="105">
        <v>3474</v>
      </c>
      <c r="G46" s="104">
        <v>675944</v>
      </c>
      <c r="H46" s="103">
        <v>3440</v>
      </c>
      <c r="I46" s="102">
        <v>753573</v>
      </c>
      <c r="J46" s="101">
        <f>D46+F46-H46</f>
        <v>7507</v>
      </c>
      <c r="K46" s="100">
        <f t="shared" si="0"/>
        <v>1505081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6740</v>
      </c>
      <c r="E47" s="116">
        <f>'７月'!K47</f>
        <v>2555460</v>
      </c>
      <c r="F47" s="105">
        <v>2376</v>
      </c>
      <c r="G47" s="104">
        <v>836626</v>
      </c>
      <c r="H47" s="103">
        <v>2499</v>
      </c>
      <c r="I47" s="102">
        <v>1021573</v>
      </c>
      <c r="J47" s="101">
        <f t="shared" si="0"/>
        <v>6617</v>
      </c>
      <c r="K47" s="100">
        <f t="shared" si="0"/>
        <v>2370513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6230</v>
      </c>
      <c r="E49" s="97">
        <f>'７月'!K49</f>
        <v>2212428</v>
      </c>
      <c r="F49" s="98">
        <v>5720</v>
      </c>
      <c r="G49" s="97">
        <v>1388099</v>
      </c>
      <c r="H49" s="96">
        <v>4831</v>
      </c>
      <c r="I49" s="95">
        <v>1356325</v>
      </c>
      <c r="J49" s="94">
        <f t="shared" si="0"/>
        <v>7119</v>
      </c>
      <c r="K49" s="93">
        <f t="shared" si="0"/>
        <v>2244202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258822</v>
      </c>
      <c r="E50" s="90">
        <f t="shared" si="1"/>
        <v>66533741</v>
      </c>
      <c r="F50" s="89">
        <f t="shared" si="1"/>
        <v>109095</v>
      </c>
      <c r="G50" s="87">
        <f t="shared" si="1"/>
        <v>30918230</v>
      </c>
      <c r="H50" s="89">
        <f t="shared" si="1"/>
        <v>113112</v>
      </c>
      <c r="I50" s="87">
        <f t="shared" si="1"/>
        <v>32846341</v>
      </c>
      <c r="J50" s="88">
        <f t="shared" si="0"/>
        <v>254805</v>
      </c>
      <c r="K50" s="87">
        <f t="shared" si="0"/>
        <v>64605630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P49" sqref="P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13339</v>
      </c>
      <c r="E10" s="116">
        <f>'８月'!K10</f>
        <v>2488595</v>
      </c>
      <c r="F10" s="119">
        <v>3042</v>
      </c>
      <c r="G10" s="118">
        <v>714408</v>
      </c>
      <c r="H10" s="117">
        <v>1625</v>
      </c>
      <c r="I10" s="116">
        <v>222954</v>
      </c>
      <c r="J10" s="115">
        <f aca="true" t="shared" si="0" ref="J10:K50">D10+F10-H10</f>
        <v>14756</v>
      </c>
      <c r="K10" s="114">
        <f t="shared" si="0"/>
        <v>2980049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1139</v>
      </c>
      <c r="E11" s="116">
        <f>'８月'!K11</f>
        <v>127830</v>
      </c>
      <c r="F11" s="105">
        <v>100</v>
      </c>
      <c r="G11" s="104">
        <v>15000</v>
      </c>
      <c r="H11" s="103">
        <v>210</v>
      </c>
      <c r="I11" s="102">
        <v>31500</v>
      </c>
      <c r="J11" s="101">
        <f t="shared" si="0"/>
        <v>1029</v>
      </c>
      <c r="K11" s="100">
        <f t="shared" si="0"/>
        <v>111330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206</v>
      </c>
      <c r="E12" s="116">
        <f>'８月'!K12</f>
        <v>27089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206</v>
      </c>
      <c r="K12" s="100">
        <f t="shared" si="0"/>
        <v>27089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6973</v>
      </c>
      <c r="E13" s="116">
        <f>'８月'!K13</f>
        <v>1707381</v>
      </c>
      <c r="F13" s="105">
        <v>333</v>
      </c>
      <c r="G13" s="104">
        <v>99731</v>
      </c>
      <c r="H13" s="103">
        <v>369</v>
      </c>
      <c r="I13" s="102">
        <v>127957</v>
      </c>
      <c r="J13" s="101">
        <f t="shared" si="0"/>
        <v>6937</v>
      </c>
      <c r="K13" s="100">
        <f t="shared" si="0"/>
        <v>1679155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1539</v>
      </c>
      <c r="E17" s="116">
        <f>'８月'!K17</f>
        <v>4957334</v>
      </c>
      <c r="F17" s="105">
        <v>579</v>
      </c>
      <c r="G17" s="104">
        <v>1809271</v>
      </c>
      <c r="H17" s="103">
        <v>1449</v>
      </c>
      <c r="I17" s="102">
        <v>4374862</v>
      </c>
      <c r="J17" s="101">
        <f t="shared" si="0"/>
        <v>669</v>
      </c>
      <c r="K17" s="100">
        <f t="shared" si="0"/>
        <v>2391743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130</v>
      </c>
      <c r="E18" s="116">
        <f>'８月'!K18</f>
        <v>19704</v>
      </c>
      <c r="F18" s="105">
        <v>187</v>
      </c>
      <c r="G18" s="104">
        <v>30275</v>
      </c>
      <c r="H18" s="103">
        <v>203</v>
      </c>
      <c r="I18" s="102">
        <v>32249</v>
      </c>
      <c r="J18" s="101">
        <f t="shared" si="0"/>
        <v>114</v>
      </c>
      <c r="K18" s="100">
        <f t="shared" si="0"/>
        <v>17730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0</v>
      </c>
      <c r="E20" s="116">
        <f>'８月'!K20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7306</v>
      </c>
      <c r="E22" s="116">
        <f>'８月'!K22</f>
        <v>962927</v>
      </c>
      <c r="F22" s="105">
        <v>2389</v>
      </c>
      <c r="G22" s="104">
        <v>340130</v>
      </c>
      <c r="H22" s="103">
        <v>2195</v>
      </c>
      <c r="I22" s="102">
        <v>290190</v>
      </c>
      <c r="J22" s="101">
        <f t="shared" si="0"/>
        <v>7500</v>
      </c>
      <c r="K22" s="100">
        <f t="shared" si="0"/>
        <v>1012867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2197</v>
      </c>
      <c r="E23" s="116">
        <f>'８月'!K23</f>
        <v>2007424</v>
      </c>
      <c r="F23" s="112">
        <v>1138</v>
      </c>
      <c r="G23" s="111">
        <v>1277800</v>
      </c>
      <c r="H23" s="110">
        <v>895</v>
      </c>
      <c r="I23" s="109">
        <v>791668</v>
      </c>
      <c r="J23" s="108">
        <f t="shared" si="0"/>
        <v>2440</v>
      </c>
      <c r="K23" s="107">
        <f t="shared" si="0"/>
        <v>2493556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25567</v>
      </c>
      <c r="E24" s="116">
        <f>'８月'!K24</f>
        <v>3215966</v>
      </c>
      <c r="F24" s="105">
        <v>1268</v>
      </c>
      <c r="G24" s="104">
        <v>2439237</v>
      </c>
      <c r="H24" s="103">
        <v>1312</v>
      </c>
      <c r="I24" s="102">
        <v>2447585</v>
      </c>
      <c r="J24" s="101">
        <f t="shared" si="0"/>
        <v>25523</v>
      </c>
      <c r="K24" s="100">
        <f t="shared" si="0"/>
        <v>3207618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9677</v>
      </c>
      <c r="E25" s="116">
        <f>'８月'!K25</f>
        <v>4340550</v>
      </c>
      <c r="F25" s="105">
        <f>28+5248</f>
        <v>5276</v>
      </c>
      <c r="G25" s="104">
        <f>75300+1219233</f>
        <v>1294533</v>
      </c>
      <c r="H25" s="103">
        <f>27+6100</f>
        <v>6127</v>
      </c>
      <c r="I25" s="102">
        <f>80315+1556723</f>
        <v>1637038</v>
      </c>
      <c r="J25" s="101">
        <f t="shared" si="0"/>
        <v>8826</v>
      </c>
      <c r="K25" s="100">
        <f t="shared" si="0"/>
        <v>3998045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19260</v>
      </c>
      <c r="E26" s="116">
        <f>'８月'!K26</f>
        <v>8316091</v>
      </c>
      <c r="F26" s="105">
        <v>6588</v>
      </c>
      <c r="G26" s="104">
        <v>1243961</v>
      </c>
      <c r="H26" s="103">
        <v>7373</v>
      </c>
      <c r="I26" s="102">
        <v>1548905</v>
      </c>
      <c r="J26" s="101">
        <f t="shared" si="0"/>
        <v>18475</v>
      </c>
      <c r="K26" s="100">
        <f t="shared" si="0"/>
        <v>8011147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2674</v>
      </c>
      <c r="E27" s="116">
        <f>'８月'!K27</f>
        <v>409950</v>
      </c>
      <c r="F27" s="105">
        <v>820</v>
      </c>
      <c r="G27" s="104">
        <v>156100</v>
      </c>
      <c r="H27" s="103">
        <v>722</v>
      </c>
      <c r="I27" s="102">
        <v>143800</v>
      </c>
      <c r="J27" s="101">
        <f t="shared" si="0"/>
        <v>2772</v>
      </c>
      <c r="K27" s="100">
        <f t="shared" si="0"/>
        <v>422250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450</v>
      </c>
      <c r="E28" s="116">
        <f>'８月'!K28</f>
        <v>49500</v>
      </c>
      <c r="F28" s="105">
        <v>1080</v>
      </c>
      <c r="G28" s="104">
        <v>118800</v>
      </c>
      <c r="H28" s="103">
        <v>1070</v>
      </c>
      <c r="I28" s="102">
        <v>117700</v>
      </c>
      <c r="J28" s="101">
        <f t="shared" si="0"/>
        <v>460</v>
      </c>
      <c r="K28" s="100">
        <f t="shared" si="0"/>
        <v>50600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1181</v>
      </c>
      <c r="E29" s="116">
        <f>'８月'!K29</f>
        <v>409396</v>
      </c>
      <c r="F29" s="74">
        <f>103+50</f>
        <v>153</v>
      </c>
      <c r="G29" s="111">
        <f>125186+10000</f>
        <v>135186</v>
      </c>
      <c r="H29" s="110">
        <f>86+40</f>
        <v>126</v>
      </c>
      <c r="I29" s="109">
        <f>118857+8000</f>
        <v>126857</v>
      </c>
      <c r="J29" s="108">
        <f>D29+F29-H29</f>
        <v>1208</v>
      </c>
      <c r="K29" s="107">
        <f t="shared" si="0"/>
        <v>417725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1627</v>
      </c>
      <c r="E30" s="116">
        <f>'８月'!K30</f>
        <v>866730</v>
      </c>
      <c r="F30" s="112">
        <f>183+185</f>
        <v>368</v>
      </c>
      <c r="G30" s="111">
        <f>78231+185412</f>
        <v>263643</v>
      </c>
      <c r="H30" s="110">
        <f>281+373</f>
        <v>654</v>
      </c>
      <c r="I30" s="109">
        <f>82665+246690</f>
        <v>329355</v>
      </c>
      <c r="J30" s="108">
        <f t="shared" si="0"/>
        <v>1341</v>
      </c>
      <c r="K30" s="107">
        <f t="shared" si="0"/>
        <v>801018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0</v>
      </c>
      <c r="E32" s="116">
        <f>'８月'!K32</f>
        <v>0</v>
      </c>
      <c r="F32" s="112">
        <v>7</v>
      </c>
      <c r="G32" s="111">
        <v>6358</v>
      </c>
      <c r="H32" s="110">
        <v>2</v>
      </c>
      <c r="I32" s="109">
        <v>1773</v>
      </c>
      <c r="J32" s="108">
        <f t="shared" si="0"/>
        <v>5</v>
      </c>
      <c r="K32" s="107">
        <f t="shared" si="0"/>
        <v>4585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28385</v>
      </c>
      <c r="E33" s="116">
        <f>'８月'!K33</f>
        <v>9430918</v>
      </c>
      <c r="F33" s="112">
        <v>17503</v>
      </c>
      <c r="G33" s="111">
        <v>6586473</v>
      </c>
      <c r="H33" s="72">
        <v>17489</v>
      </c>
      <c r="I33" s="109">
        <v>6540521</v>
      </c>
      <c r="J33" s="108">
        <f t="shared" si="0"/>
        <v>28399</v>
      </c>
      <c r="K33" s="107">
        <f t="shared" si="0"/>
        <v>9476870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84859</v>
      </c>
      <c r="E34" s="116">
        <f>'８月'!K34</f>
        <v>8172135</v>
      </c>
      <c r="F34" s="112">
        <f>137+31931</f>
        <v>32068</v>
      </c>
      <c r="G34" s="137">
        <f>317900+4973201</f>
        <v>5291101</v>
      </c>
      <c r="H34" s="110">
        <f>157+31099</f>
        <v>31256</v>
      </c>
      <c r="I34" s="109">
        <f>347591+4929470</f>
        <v>5277061</v>
      </c>
      <c r="J34" s="108">
        <f t="shared" si="0"/>
        <v>85671</v>
      </c>
      <c r="K34" s="107">
        <f t="shared" si="0"/>
        <v>8186175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1280</v>
      </c>
      <c r="E35" s="116">
        <f>'８月'!K35</f>
        <v>104229</v>
      </c>
      <c r="F35" s="112">
        <v>1000</v>
      </c>
      <c r="G35" s="111">
        <v>101745</v>
      </c>
      <c r="H35" s="110">
        <v>889</v>
      </c>
      <c r="I35" s="109">
        <v>77593</v>
      </c>
      <c r="J35" s="108">
        <f t="shared" si="0"/>
        <v>1391</v>
      </c>
      <c r="K35" s="107">
        <f t="shared" si="0"/>
        <v>128381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248</v>
      </c>
      <c r="E36" s="116">
        <f>'８月'!K36</f>
        <v>843050</v>
      </c>
      <c r="F36" s="112">
        <v>225</v>
      </c>
      <c r="G36" s="111">
        <v>506900</v>
      </c>
      <c r="H36" s="110">
        <v>226</v>
      </c>
      <c r="I36" s="109">
        <v>397880</v>
      </c>
      <c r="J36" s="108">
        <f t="shared" si="0"/>
        <v>247</v>
      </c>
      <c r="K36" s="107">
        <f t="shared" si="0"/>
        <v>952070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592</v>
      </c>
      <c r="E38" s="116">
        <f>'８月'!K38</f>
        <v>126830</v>
      </c>
      <c r="F38" s="112">
        <v>191</v>
      </c>
      <c r="G38" s="111">
        <v>2027671</v>
      </c>
      <c r="H38" s="110">
        <v>78</v>
      </c>
      <c r="I38" s="109">
        <v>23381</v>
      </c>
      <c r="J38" s="108">
        <f t="shared" si="0"/>
        <v>705</v>
      </c>
      <c r="K38" s="107">
        <f t="shared" si="0"/>
        <v>2131120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1384</v>
      </c>
      <c r="E39" s="116">
        <f>'８月'!K39</f>
        <v>1522400</v>
      </c>
      <c r="F39" s="112">
        <v>300</v>
      </c>
      <c r="G39" s="111">
        <v>330000</v>
      </c>
      <c r="H39" s="110">
        <v>240</v>
      </c>
      <c r="I39" s="109">
        <v>264000</v>
      </c>
      <c r="J39" s="108">
        <f t="shared" si="0"/>
        <v>1444</v>
      </c>
      <c r="K39" s="107">
        <f t="shared" si="0"/>
        <v>1588400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6626</v>
      </c>
      <c r="E42" s="116">
        <f>'８月'!K42</f>
        <v>2408511</v>
      </c>
      <c r="F42" s="112">
        <v>12135</v>
      </c>
      <c r="G42" s="111">
        <v>3262423</v>
      </c>
      <c r="H42" s="110">
        <v>10697</v>
      </c>
      <c r="I42" s="109">
        <v>2901462</v>
      </c>
      <c r="J42" s="108">
        <f t="shared" si="0"/>
        <v>8064</v>
      </c>
      <c r="K42" s="107">
        <f t="shared" si="0"/>
        <v>2769472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6457</v>
      </c>
      <c r="E43" s="116">
        <f>'８月'!K43</f>
        <v>2111094</v>
      </c>
      <c r="F43" s="112">
        <v>9194</v>
      </c>
      <c r="G43" s="111">
        <v>3029996</v>
      </c>
      <c r="H43" s="110">
        <v>9395</v>
      </c>
      <c r="I43" s="109">
        <v>3196201</v>
      </c>
      <c r="J43" s="108">
        <f t="shared" si="0"/>
        <v>6256</v>
      </c>
      <c r="K43" s="107">
        <f t="shared" si="0"/>
        <v>1944889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49</v>
      </c>
      <c r="E44" s="116">
        <f>'８月'!K44</f>
        <v>71850</v>
      </c>
      <c r="F44" s="112">
        <v>15</v>
      </c>
      <c r="G44" s="111">
        <v>22500</v>
      </c>
      <c r="H44" s="110">
        <v>20</v>
      </c>
      <c r="I44" s="109">
        <v>30000</v>
      </c>
      <c r="J44" s="108">
        <f t="shared" si="0"/>
        <v>44</v>
      </c>
      <c r="K44" s="107">
        <f t="shared" si="0"/>
        <v>64350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10417</v>
      </c>
      <c r="E45" s="116">
        <f>'８月'!K45</f>
        <v>3788350</v>
      </c>
      <c r="F45" s="112">
        <v>5055</v>
      </c>
      <c r="G45" s="111">
        <v>552899</v>
      </c>
      <c r="H45" s="110">
        <v>2254</v>
      </c>
      <c r="I45" s="109">
        <v>318589</v>
      </c>
      <c r="J45" s="108">
        <f t="shared" si="0"/>
        <v>13218</v>
      </c>
      <c r="K45" s="107">
        <f t="shared" si="0"/>
        <v>4022660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7507</v>
      </c>
      <c r="E46" s="116">
        <f>'８月'!K46</f>
        <v>1505081</v>
      </c>
      <c r="F46" s="105">
        <v>4444</v>
      </c>
      <c r="G46" s="104">
        <v>895368</v>
      </c>
      <c r="H46" s="103">
        <v>3819</v>
      </c>
      <c r="I46" s="102">
        <v>814626</v>
      </c>
      <c r="J46" s="101">
        <f t="shared" si="0"/>
        <v>8132</v>
      </c>
      <c r="K46" s="100">
        <f t="shared" si="0"/>
        <v>1585823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6617</v>
      </c>
      <c r="E47" s="116">
        <f>'８月'!K47</f>
        <v>2370513</v>
      </c>
      <c r="F47" s="105">
        <v>10849</v>
      </c>
      <c r="G47" s="104">
        <v>1193507</v>
      </c>
      <c r="H47" s="103">
        <v>2180</v>
      </c>
      <c r="I47" s="102">
        <v>631803</v>
      </c>
      <c r="J47" s="101">
        <f t="shared" si="0"/>
        <v>15286</v>
      </c>
      <c r="K47" s="100">
        <f t="shared" si="0"/>
        <v>2932217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7119</v>
      </c>
      <c r="E49" s="97">
        <f>'８月'!K49</f>
        <v>2244202</v>
      </c>
      <c r="F49" s="98">
        <v>5943</v>
      </c>
      <c r="G49" s="97">
        <v>1493490</v>
      </c>
      <c r="H49" s="96">
        <v>5610</v>
      </c>
      <c r="I49" s="95">
        <v>1586053</v>
      </c>
      <c r="J49" s="94">
        <f t="shared" si="0"/>
        <v>7452</v>
      </c>
      <c r="K49" s="93">
        <f t="shared" si="0"/>
        <v>2151639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254805</v>
      </c>
      <c r="E50" s="90">
        <f t="shared" si="1"/>
        <v>64605630</v>
      </c>
      <c r="F50" s="89">
        <f t="shared" si="1"/>
        <v>122250</v>
      </c>
      <c r="G50" s="87">
        <f t="shared" si="1"/>
        <v>35238506</v>
      </c>
      <c r="H50" s="89">
        <f t="shared" si="1"/>
        <v>108485</v>
      </c>
      <c r="I50" s="87">
        <f t="shared" si="1"/>
        <v>34283563</v>
      </c>
      <c r="J50" s="88">
        <f t="shared" si="0"/>
        <v>268570</v>
      </c>
      <c r="K50" s="87">
        <f t="shared" si="0"/>
        <v>65560573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cp:lastPrinted>2018-12-14T05:54:29Z</cp:lastPrinted>
  <dcterms:created xsi:type="dcterms:W3CDTF">2001-03-04T05:07:28Z</dcterms:created>
  <dcterms:modified xsi:type="dcterms:W3CDTF">2019-01-29T00:21:53Z</dcterms:modified>
  <cp:category/>
  <cp:version/>
  <cp:contentType/>
  <cp:contentStatus/>
</cp:coreProperties>
</file>